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nvit\Desktop\"/>
    </mc:Choice>
  </mc:AlternateContent>
  <bookViews>
    <workbookView xWindow="0" yWindow="0" windowWidth="28800" windowHeight="12435" tabRatio="811" firstSheet="1" activeTab="2"/>
  </bookViews>
  <sheets>
    <sheet name="Sheet2" sheetId="2" state="hidden" r:id="rId1"/>
    <sheet name="การนับภารกิจ (2)" sheetId="17" r:id="rId2"/>
    <sheet name="Workload calcutation" sheetId="3" r:id="rId3"/>
    <sheet name="First (1st) Semester" sheetId="15" r:id="rId4"/>
    <sheet name="Second (2nd) Semester" sheetId="18" r:id="rId5"/>
    <sheet name="Year Summary" sheetId="7" r:id="rId6"/>
  </sheets>
  <externalReferences>
    <externalReference r:id="rId7"/>
  </externalReferences>
  <definedNames>
    <definedName name="_xlnm._FilterDatabase" localSheetId="3" hidden="1">'First (1st) Semester'!$S$5:$V$6</definedName>
    <definedName name="_xlnm._FilterDatabase" localSheetId="4" hidden="1">'Second (2nd) Semester'!$S$5:$V$6</definedName>
    <definedName name="_xlnm.Print_Area" localSheetId="2">'Workload calcutation'!$A$1:$H$213</definedName>
    <definedName name="_xlnm.Print_Area" localSheetId="5">'Year Summary'!$C$1:$O$41</definedName>
    <definedName name="_xlnm.Print_Area" localSheetId="1">'การนับภารกิจ (2)'!$A$1:$H$213</definedName>
    <definedName name="ตำแหน่งวิชาการ" localSheetId="1">[1]Sheet2!$D$1:$D$4</definedName>
    <definedName name="ตำแหน่งวิชาการ">Sheet2!$D$1:$D$4</definedName>
    <definedName name="บริการวิชาการ" localSheetId="4">'Second (2nd) Semester'!$BC$125:$BC$136</definedName>
    <definedName name="บริการวิชาการ" localSheetId="1">'[1]ภาคการศึกษาที่ 1'!$BC$121:$BC$132</definedName>
    <definedName name="บริการวิชาการ">'First (1st) Semester'!$BC$125:$BC$136</definedName>
    <definedName name="ผลงานอื่น_1" localSheetId="1">[1]Sheet2!$J$2:$J$10</definedName>
    <definedName name="ผลงานอื่น_1">Sheet2!$J$2:$J$10</definedName>
    <definedName name="ผลงานอื่น_2" localSheetId="1">[1]Sheet2!$L$2:$L$7</definedName>
    <definedName name="ผลงานอื่น_2">Sheet2!$L$2:$L$7</definedName>
    <definedName name="ผลงานอื่น_3">Sheet2!$N$2:$N$3</definedName>
    <definedName name="ผลงานอื่น_4">Sheet2!$P$2:$P$4</definedName>
    <definedName name="สาขาวิชา">Sheet2!$B$23:$B$53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6" i="15" l="1"/>
  <c r="U113" i="15"/>
  <c r="R113" i="15"/>
  <c r="N52" i="15"/>
  <c r="N53" i="15"/>
  <c r="N54" i="15"/>
  <c r="N55" i="15"/>
  <c r="N56" i="15"/>
  <c r="N57" i="15"/>
  <c r="BL90" i="15" l="1"/>
  <c r="BL89" i="15"/>
  <c r="BL88" i="15"/>
  <c r="S93" i="15" l="1"/>
  <c r="R93" i="15"/>
  <c r="T93" i="15" s="1"/>
  <c r="BE92" i="15"/>
  <c r="S92" i="15"/>
  <c r="R92" i="15"/>
  <c r="BE91" i="15"/>
  <c r="S91" i="15"/>
  <c r="R91" i="15"/>
  <c r="T91" i="15" s="1"/>
  <c r="BE90" i="15"/>
  <c r="S90" i="15"/>
  <c r="R90" i="15"/>
  <c r="T90" i="15" s="1"/>
  <c r="BE89" i="15"/>
  <c r="S89" i="15"/>
  <c r="R89" i="15"/>
  <c r="T89" i="15" s="1"/>
  <c r="BE88" i="15"/>
  <c r="BL87" i="15"/>
  <c r="BE87" i="15"/>
  <c r="BE86" i="15"/>
  <c r="S41" i="15"/>
  <c r="R42" i="15"/>
  <c r="S42" i="15"/>
  <c r="R43" i="15"/>
  <c r="S43" i="15"/>
  <c r="R44" i="15"/>
  <c r="S44" i="15"/>
  <c r="R45" i="15"/>
  <c r="S45" i="15"/>
  <c r="BC41" i="15"/>
  <c r="BE41" i="15" s="1"/>
  <c r="R41" i="15" s="1"/>
  <c r="BC42" i="15"/>
  <c r="BC43" i="15"/>
  <c r="BC44" i="15"/>
  <c r="BC45" i="15"/>
  <c r="BC39" i="15"/>
  <c r="BE39" i="15" s="1"/>
  <c r="BE45" i="15"/>
  <c r="BE44" i="15"/>
  <c r="BE43" i="15"/>
  <c r="BE42" i="15"/>
  <c r="N16" i="15"/>
  <c r="N17" i="15"/>
  <c r="N18" i="15"/>
  <c r="N19" i="15"/>
  <c r="N20" i="15"/>
  <c r="N21" i="15"/>
  <c r="N22" i="15"/>
  <c r="N23" i="15"/>
  <c r="N24" i="15"/>
  <c r="N25" i="15"/>
  <c r="BJ25" i="15"/>
  <c r="BI25" i="15"/>
  <c r="BH25" i="15"/>
  <c r="BG25" i="15"/>
  <c r="BF25" i="15"/>
  <c r="BE25" i="15"/>
  <c r="BC25" i="15"/>
  <c r="BJ24" i="15"/>
  <c r="BI24" i="15"/>
  <c r="BH24" i="15"/>
  <c r="BG24" i="15"/>
  <c r="BF24" i="15"/>
  <c r="BE24" i="15"/>
  <c r="BC24" i="15"/>
  <c r="BK23" i="15"/>
  <c r="BJ23" i="15"/>
  <c r="BI23" i="15"/>
  <c r="BH23" i="15"/>
  <c r="BG23" i="15"/>
  <c r="BF23" i="15"/>
  <c r="BE23" i="15"/>
  <c r="BC23" i="15"/>
  <c r="BK22" i="15"/>
  <c r="BJ22" i="15"/>
  <c r="BI22" i="15"/>
  <c r="BH22" i="15"/>
  <c r="BG22" i="15"/>
  <c r="BF22" i="15"/>
  <c r="BE22" i="15"/>
  <c r="BC22" i="15"/>
  <c r="BK21" i="15"/>
  <c r="BG21" i="15"/>
  <c r="BC21" i="15"/>
  <c r="BE21" i="15" s="1"/>
  <c r="BK20" i="15"/>
  <c r="BC20" i="15"/>
  <c r="BJ20" i="15" s="1"/>
  <c r="BK19" i="15"/>
  <c r="BJ19" i="15"/>
  <c r="BI19" i="15"/>
  <c r="BH19" i="15"/>
  <c r="BG19" i="15"/>
  <c r="BF19" i="15"/>
  <c r="BE19" i="15"/>
  <c r="BC19" i="15"/>
  <c r="BK18" i="15"/>
  <c r="BG18" i="15"/>
  <c r="BC18" i="15"/>
  <c r="BE18" i="15" s="1"/>
  <c r="BK17" i="15"/>
  <c r="BC17" i="15"/>
  <c r="BJ17" i="15" s="1"/>
  <c r="BK16" i="15"/>
  <c r="BJ16" i="15"/>
  <c r="BI16" i="15"/>
  <c r="BH16" i="15"/>
  <c r="BG16" i="15"/>
  <c r="BF16" i="15"/>
  <c r="BE16" i="15"/>
  <c r="BC16" i="15"/>
  <c r="BJ15" i="15"/>
  <c r="BI15" i="15"/>
  <c r="BH15" i="15"/>
  <c r="BG15" i="15"/>
  <c r="BF15" i="15"/>
  <c r="N15" i="15" s="1"/>
  <c r="BE15" i="15"/>
  <c r="BC15" i="15"/>
  <c r="BC20" i="18"/>
  <c r="O20" i="18"/>
  <c r="BH19" i="18"/>
  <c r="BC19" i="18"/>
  <c r="BE19" i="18" s="1"/>
  <c r="N19" i="18" s="1"/>
  <c r="O19" i="18"/>
  <c r="BC22" i="18"/>
  <c r="O22" i="18"/>
  <c r="N22" i="18"/>
  <c r="P22" i="18" s="1"/>
  <c r="BH21" i="18"/>
  <c r="BC21" i="18"/>
  <c r="BG21" i="18" s="1"/>
  <c r="O21" i="18"/>
  <c r="N21" i="18"/>
  <c r="O20" i="15"/>
  <c r="O19" i="15"/>
  <c r="O22" i="15"/>
  <c r="P22" i="15"/>
  <c r="O21" i="15"/>
  <c r="G10" i="7"/>
  <c r="G9" i="7"/>
  <c r="G8" i="7"/>
  <c r="G7" i="7"/>
  <c r="G6" i="7"/>
  <c r="G5" i="7"/>
  <c r="G4" i="7"/>
  <c r="M182" i="18"/>
  <c r="M192" i="18" s="1"/>
  <c r="M19" i="7" s="1"/>
  <c r="X175" i="18"/>
  <c r="M191" i="18" s="1"/>
  <c r="M18" i="7" s="1"/>
  <c r="U164" i="18"/>
  <c r="U163" i="18"/>
  <c r="U162" i="18"/>
  <c r="U161" i="18"/>
  <c r="U160" i="18"/>
  <c r="U159" i="18"/>
  <c r="U158" i="18"/>
  <c r="AA150" i="18"/>
  <c r="J150" i="18"/>
  <c r="AA149" i="18"/>
  <c r="J149" i="18"/>
  <c r="AA148" i="18"/>
  <c r="U148" i="18" s="1"/>
  <c r="AA147" i="18"/>
  <c r="U147" i="18" s="1"/>
  <c r="AA146" i="18"/>
  <c r="AA145" i="18"/>
  <c r="R136" i="18"/>
  <c r="V136" i="18" s="1"/>
  <c r="R135" i="18"/>
  <c r="V135" i="18" s="1"/>
  <c r="R134" i="18"/>
  <c r="V134" i="18" s="1"/>
  <c r="R133" i="18"/>
  <c r="V133" i="18" s="1"/>
  <c r="R132" i="18"/>
  <c r="V132" i="18" s="1"/>
  <c r="R131" i="18"/>
  <c r="V131" i="18" s="1"/>
  <c r="R130" i="18"/>
  <c r="V130" i="18" s="1"/>
  <c r="R129" i="18"/>
  <c r="V129" i="18" s="1"/>
  <c r="R128" i="18"/>
  <c r="V128" i="18" s="1"/>
  <c r="R127" i="18"/>
  <c r="V127" i="18" s="1"/>
  <c r="BC118" i="18"/>
  <c r="BB118" i="18"/>
  <c r="U118" i="18" s="1"/>
  <c r="W118" i="18"/>
  <c r="R118" i="18"/>
  <c r="BC117" i="18"/>
  <c r="BB117" i="18"/>
  <c r="W117" i="18"/>
  <c r="R117" i="18"/>
  <c r="BC116" i="18"/>
  <c r="BB116" i="18"/>
  <c r="W116" i="18"/>
  <c r="R116" i="18"/>
  <c r="BC115" i="18"/>
  <c r="BB115" i="18"/>
  <c r="W115" i="18"/>
  <c r="R115" i="18"/>
  <c r="BC114" i="18"/>
  <c r="BB114" i="18"/>
  <c r="W114" i="18"/>
  <c r="R114" i="18"/>
  <c r="BC113" i="18"/>
  <c r="BB113" i="18"/>
  <c r="W113" i="18"/>
  <c r="R113" i="18"/>
  <c r="X107" i="18"/>
  <c r="X106" i="18"/>
  <c r="X105" i="18"/>
  <c r="X104" i="18"/>
  <c r="X103" i="18"/>
  <c r="X102" i="18"/>
  <c r="Q93" i="18"/>
  <c r="BB92" i="18"/>
  <c r="Q92" i="18"/>
  <c r="BB91" i="18"/>
  <c r="Q91" i="18"/>
  <c r="BG90" i="18"/>
  <c r="BB90" i="18"/>
  <c r="Q90" i="18"/>
  <c r="BG89" i="18"/>
  <c r="BB89" i="18"/>
  <c r="BG88" i="18"/>
  <c r="BB88" i="18"/>
  <c r="BG87" i="18"/>
  <c r="BB87" i="18"/>
  <c r="BB86" i="18"/>
  <c r="BG80" i="18"/>
  <c r="BF80" i="18"/>
  <c r="BD80" i="18"/>
  <c r="BC80" i="18"/>
  <c r="BB80" i="18"/>
  <c r="T80" i="18"/>
  <c r="O80" i="18"/>
  <c r="BG79" i="18"/>
  <c r="BF79" i="18"/>
  <c r="BD79" i="18"/>
  <c r="BC79" i="18"/>
  <c r="BB79" i="18"/>
  <c r="T79" i="18"/>
  <c r="O79" i="18"/>
  <c r="BG78" i="18"/>
  <c r="BF78" i="18"/>
  <c r="BD78" i="18"/>
  <c r="BC78" i="18"/>
  <c r="BB78" i="18"/>
  <c r="T78" i="18"/>
  <c r="O78" i="18"/>
  <c r="BG77" i="18"/>
  <c r="BF77" i="18"/>
  <c r="BD77" i="18"/>
  <c r="BC77" i="18"/>
  <c r="BB77" i="18"/>
  <c r="T77" i="18"/>
  <c r="O77" i="18"/>
  <c r="BG76" i="18"/>
  <c r="BF76" i="18"/>
  <c r="BD76" i="18"/>
  <c r="BC76" i="18"/>
  <c r="BB76" i="18"/>
  <c r="T76" i="18"/>
  <c r="O76" i="18"/>
  <c r="BG75" i="18"/>
  <c r="BF75" i="18"/>
  <c r="BD75" i="18"/>
  <c r="BC75" i="18"/>
  <c r="BB75" i="18"/>
  <c r="T75" i="18"/>
  <c r="O75" i="18"/>
  <c r="BG74" i="18"/>
  <c r="BF74" i="18"/>
  <c r="BD74" i="18"/>
  <c r="BC74" i="18"/>
  <c r="BB74" i="18"/>
  <c r="T74" i="18"/>
  <c r="O74" i="18"/>
  <c r="BG73" i="18"/>
  <c r="BF73" i="18"/>
  <c r="BD73" i="18"/>
  <c r="BC73" i="18"/>
  <c r="BB73" i="18"/>
  <c r="T73" i="18"/>
  <c r="O73" i="18"/>
  <c r="BG72" i="18"/>
  <c r="BF72" i="18"/>
  <c r="BD72" i="18"/>
  <c r="BC72" i="18"/>
  <c r="BB72" i="18"/>
  <c r="T72" i="18"/>
  <c r="O72" i="18"/>
  <c r="BG71" i="18"/>
  <c r="BF71" i="18"/>
  <c r="BD71" i="18"/>
  <c r="BC71" i="18"/>
  <c r="BB71" i="18"/>
  <c r="T71" i="18"/>
  <c r="BG70" i="18"/>
  <c r="BF70" i="18"/>
  <c r="BD70" i="18"/>
  <c r="BC70" i="18"/>
  <c r="BB70" i="18"/>
  <c r="T70" i="18"/>
  <c r="BG69" i="18"/>
  <c r="BF69" i="18"/>
  <c r="BD69" i="18"/>
  <c r="BC69" i="18"/>
  <c r="BB69" i="18"/>
  <c r="T69" i="18"/>
  <c r="BF59" i="18"/>
  <c r="BE59" i="18"/>
  <c r="R59" i="18"/>
  <c r="N59" i="18"/>
  <c r="BF58" i="18"/>
  <c r="U58" i="18" s="1"/>
  <c r="BE58" i="18"/>
  <c r="R58" i="18"/>
  <c r="N58" i="18"/>
  <c r="BF57" i="18"/>
  <c r="BE57" i="18"/>
  <c r="R57" i="18"/>
  <c r="N57" i="18"/>
  <c r="BF56" i="18"/>
  <c r="BE56" i="18"/>
  <c r="R56" i="18"/>
  <c r="N56" i="18"/>
  <c r="BF55" i="18"/>
  <c r="U55" i="18" s="1"/>
  <c r="BE55" i="18"/>
  <c r="R55" i="18"/>
  <c r="N55" i="18"/>
  <c r="BF54" i="18"/>
  <c r="BE54" i="18"/>
  <c r="R54" i="18"/>
  <c r="N54" i="18"/>
  <c r="BF53" i="18"/>
  <c r="BE53" i="18"/>
  <c r="R53" i="18"/>
  <c r="N53" i="18"/>
  <c r="BF52" i="18"/>
  <c r="U52" i="18" s="1"/>
  <c r="BE52" i="18"/>
  <c r="R52" i="18"/>
  <c r="N52" i="18"/>
  <c r="BC45" i="18"/>
  <c r="W45" i="18"/>
  <c r="V45" i="18"/>
  <c r="S45" i="18"/>
  <c r="R45" i="18"/>
  <c r="BC44" i="18"/>
  <c r="W44" i="18"/>
  <c r="V44" i="18"/>
  <c r="S44" i="18"/>
  <c r="R44" i="18"/>
  <c r="BC43" i="18"/>
  <c r="W43" i="18"/>
  <c r="V43" i="18"/>
  <c r="S43" i="18"/>
  <c r="R43" i="18"/>
  <c r="BC42" i="18"/>
  <c r="W42" i="18"/>
  <c r="V42" i="18"/>
  <c r="S42" i="18"/>
  <c r="R42" i="18"/>
  <c r="BC41" i="18"/>
  <c r="BE41" i="18" s="1"/>
  <c r="W41" i="18"/>
  <c r="V41" i="18"/>
  <c r="S41" i="18"/>
  <c r="R41" i="18"/>
  <c r="BE40" i="18"/>
  <c r="R40" i="18" s="1"/>
  <c r="X40" i="18" s="1"/>
  <c r="BC40" i="18"/>
  <c r="W40" i="18"/>
  <c r="V40" i="18"/>
  <c r="S40" i="18"/>
  <c r="BC39" i="18"/>
  <c r="W39" i="18"/>
  <c r="V39" i="18"/>
  <c r="S39" i="18"/>
  <c r="R39" i="18"/>
  <c r="P29" i="18"/>
  <c r="P28" i="18"/>
  <c r="BH27" i="18"/>
  <c r="BF19" i="18" s="1"/>
  <c r="P27" i="18"/>
  <c r="BH26" i="18"/>
  <c r="BH25" i="18"/>
  <c r="BC25" i="18"/>
  <c r="BH22" i="18" s="1"/>
  <c r="O25" i="18"/>
  <c r="N25" i="18"/>
  <c r="BH24" i="18"/>
  <c r="BG19" i="18" s="1"/>
  <c r="BC24" i="18"/>
  <c r="O24" i="18"/>
  <c r="N24" i="18"/>
  <c r="BH23" i="18"/>
  <c r="BC23" i="18"/>
  <c r="BH20" i="18" s="1"/>
  <c r="O23" i="18"/>
  <c r="N23" i="18"/>
  <c r="BH18" i="18"/>
  <c r="BC18" i="18"/>
  <c r="O18" i="18"/>
  <c r="BH17" i="18"/>
  <c r="BC17" i="18"/>
  <c r="O17" i="18"/>
  <c r="BH16" i="18"/>
  <c r="BC16" i="18"/>
  <c r="BG16" i="18" s="1"/>
  <c r="O16" i="18"/>
  <c r="BG15" i="18"/>
  <c r="BF15" i="18"/>
  <c r="BE15" i="18"/>
  <c r="N15" i="18" s="1"/>
  <c r="BC15" i="18"/>
  <c r="O15" i="18"/>
  <c r="W116" i="15"/>
  <c r="BC114" i="15"/>
  <c r="BC115" i="15"/>
  <c r="BC116" i="15"/>
  <c r="BC117" i="15"/>
  <c r="BC118" i="15"/>
  <c r="BC113" i="15"/>
  <c r="BB114" i="15"/>
  <c r="BB115" i="15"/>
  <c r="BB116" i="15"/>
  <c r="BB117" i="15"/>
  <c r="BB118" i="15"/>
  <c r="BB113" i="15"/>
  <c r="BF70" i="15"/>
  <c r="BG70" i="15"/>
  <c r="BF71" i="15"/>
  <c r="BG71" i="15"/>
  <c r="BF72" i="15"/>
  <c r="BG72" i="15"/>
  <c r="BF73" i="15"/>
  <c r="BG73" i="15"/>
  <c r="BF74" i="15"/>
  <c r="BG74" i="15"/>
  <c r="BF75" i="15"/>
  <c r="BG75" i="15"/>
  <c r="BF76" i="15"/>
  <c r="BG76" i="15"/>
  <c r="BF77" i="15"/>
  <c r="BG77" i="15"/>
  <c r="BF78" i="15"/>
  <c r="BG78" i="15"/>
  <c r="BF79" i="15"/>
  <c r="BG79" i="15"/>
  <c r="BF80" i="15"/>
  <c r="BG80" i="15"/>
  <c r="BG69" i="15"/>
  <c r="BF69" i="15"/>
  <c r="BB70" i="15"/>
  <c r="BC70" i="15"/>
  <c r="BD70" i="15"/>
  <c r="BB71" i="15"/>
  <c r="BC71" i="15"/>
  <c r="BD71" i="15"/>
  <c r="BB72" i="15"/>
  <c r="BC72" i="15"/>
  <c r="BD72" i="15"/>
  <c r="BB73" i="15"/>
  <c r="BC73" i="15"/>
  <c r="BD73" i="15"/>
  <c r="BB74" i="15"/>
  <c r="BC74" i="15"/>
  <c r="BD74" i="15"/>
  <c r="BB75" i="15"/>
  <c r="BC75" i="15"/>
  <c r="BD75" i="15"/>
  <c r="BB76" i="15"/>
  <c r="BC76" i="15"/>
  <c r="BD76" i="15"/>
  <c r="BB77" i="15"/>
  <c r="BC77" i="15"/>
  <c r="BD77" i="15"/>
  <c r="BB78" i="15"/>
  <c r="BC78" i="15"/>
  <c r="BD78" i="15"/>
  <c r="BB79" i="15"/>
  <c r="BC79" i="15"/>
  <c r="BD79" i="15"/>
  <c r="BB80" i="15"/>
  <c r="BC80" i="15"/>
  <c r="BD80" i="15"/>
  <c r="BD69" i="15"/>
  <c r="BC69" i="15"/>
  <c r="BB69" i="15"/>
  <c r="O70" i="18" l="1"/>
  <c r="U70" i="18" s="1"/>
  <c r="BF16" i="18"/>
  <c r="BE16" i="18"/>
  <c r="N16" i="18" s="1"/>
  <c r="P16" i="18" s="1"/>
  <c r="T92" i="15"/>
  <c r="T94" i="15" s="1"/>
  <c r="BF18" i="15"/>
  <c r="BF21" i="15"/>
  <c r="BH18" i="15"/>
  <c r="BH21" i="15"/>
  <c r="BE17" i="15"/>
  <c r="BI18" i="15"/>
  <c r="BE20" i="15"/>
  <c r="BI21" i="15"/>
  <c r="BF17" i="15"/>
  <c r="BJ18" i="15"/>
  <c r="BF20" i="15"/>
  <c r="BJ21" i="15"/>
  <c r="BG17" i="15"/>
  <c r="BG20" i="15"/>
  <c r="BH17" i="15"/>
  <c r="BH20" i="15"/>
  <c r="BI17" i="15"/>
  <c r="BI20" i="15"/>
  <c r="X43" i="18"/>
  <c r="P24" i="18"/>
  <c r="P19" i="18"/>
  <c r="BF17" i="18"/>
  <c r="N17" i="18" s="1"/>
  <c r="P17" i="18" s="1"/>
  <c r="R73" i="18"/>
  <c r="U73" i="18" s="1"/>
  <c r="BG20" i="18"/>
  <c r="BG18" i="18"/>
  <c r="N18" i="18" s="1"/>
  <c r="P18" i="18" s="1"/>
  <c r="X44" i="18"/>
  <c r="BE21" i="18"/>
  <c r="X45" i="18"/>
  <c r="BF24" i="18"/>
  <c r="Q89" i="18"/>
  <c r="Q94" i="18" s="1"/>
  <c r="BG17" i="18"/>
  <c r="BE45" i="18"/>
  <c r="BE18" i="18"/>
  <c r="X39" i="18"/>
  <c r="X118" i="18"/>
  <c r="U149" i="18"/>
  <c r="BF21" i="18"/>
  <c r="R71" i="18"/>
  <c r="U150" i="18"/>
  <c r="BG22" i="18"/>
  <c r="BE39" i="18"/>
  <c r="U145" i="18"/>
  <c r="U165" i="18"/>
  <c r="M190" i="18" s="1"/>
  <c r="M17" i="7" s="1"/>
  <c r="BE20" i="18"/>
  <c r="N20" i="18" s="1"/>
  <c r="P20" i="18" s="1"/>
  <c r="R72" i="18"/>
  <c r="U72" i="18" s="1"/>
  <c r="BF20" i="18"/>
  <c r="BG25" i="18"/>
  <c r="BF18" i="18"/>
  <c r="R75" i="18"/>
  <c r="U75" i="18" s="1"/>
  <c r="BF25" i="18"/>
  <c r="BF23" i="18"/>
  <c r="BE44" i="18"/>
  <c r="R70" i="18"/>
  <c r="R77" i="18"/>
  <c r="U77" i="18" s="1"/>
  <c r="P21" i="18"/>
  <c r="BE24" i="18"/>
  <c r="BE42" i="18"/>
  <c r="U53" i="18"/>
  <c r="U56" i="18"/>
  <c r="U59" i="18"/>
  <c r="X41" i="18"/>
  <c r="O69" i="18"/>
  <c r="O71" i="18"/>
  <c r="R74" i="18"/>
  <c r="U74" i="18" s="1"/>
  <c r="R79" i="18"/>
  <c r="U79" i="18" s="1"/>
  <c r="U114" i="18"/>
  <c r="X114" i="18" s="1"/>
  <c r="U117" i="18"/>
  <c r="X117" i="18" s="1"/>
  <c r="P23" i="18"/>
  <c r="P25" i="18"/>
  <c r="U54" i="18"/>
  <c r="U57" i="18"/>
  <c r="W57" i="18" s="1"/>
  <c r="BG23" i="18"/>
  <c r="BE43" i="18"/>
  <c r="R69" i="18"/>
  <c r="R76" i="18"/>
  <c r="U76" i="18" s="1"/>
  <c r="U115" i="18"/>
  <c r="X115" i="18" s="1"/>
  <c r="P15" i="18"/>
  <c r="BE17" i="18"/>
  <c r="BE23" i="18"/>
  <c r="BE25" i="18"/>
  <c r="R78" i="18"/>
  <c r="U78" i="18" s="1"/>
  <c r="X108" i="18"/>
  <c r="X113" i="18"/>
  <c r="X116" i="18"/>
  <c r="BE22" i="18"/>
  <c r="X42" i="18"/>
  <c r="BF22" i="18"/>
  <c r="BG24" i="18"/>
  <c r="W54" i="18"/>
  <c r="W53" i="18"/>
  <c r="W56" i="18"/>
  <c r="W59" i="18"/>
  <c r="R80" i="18"/>
  <c r="U80" i="18" s="1"/>
  <c r="U146" i="18"/>
  <c r="V137" i="18"/>
  <c r="W52" i="18"/>
  <c r="W55" i="18"/>
  <c r="W58" i="18"/>
  <c r="U151" i="18" l="1"/>
  <c r="X46" i="18"/>
  <c r="U69" i="18"/>
  <c r="U71" i="18"/>
  <c r="U81" i="18" s="1"/>
  <c r="X119" i="18"/>
  <c r="M188" i="18" s="1"/>
  <c r="M15" i="7" s="1"/>
  <c r="P26" i="18"/>
  <c r="W60" i="18"/>
  <c r="M189" i="18"/>
  <c r="M16" i="7" s="1"/>
  <c r="P30" i="18" l="1"/>
  <c r="M187" i="18" s="1"/>
  <c r="M14" i="7" l="1"/>
  <c r="M193" i="18"/>
  <c r="D187" i="18"/>
  <c r="R128" i="15" l="1"/>
  <c r="V128" i="15" s="1"/>
  <c r="R129" i="15"/>
  <c r="V129" i="15" s="1"/>
  <c r="R130" i="15"/>
  <c r="V130" i="15" s="1"/>
  <c r="R131" i="15"/>
  <c r="V131" i="15" s="1"/>
  <c r="R132" i="15"/>
  <c r="V132" i="15" s="1"/>
  <c r="R133" i="15"/>
  <c r="V133" i="15" s="1"/>
  <c r="R134" i="15"/>
  <c r="V134" i="15" s="1"/>
  <c r="R135" i="15"/>
  <c r="V135" i="15" s="1"/>
  <c r="R136" i="15"/>
  <c r="V136" i="15" s="1"/>
  <c r="R127" i="15"/>
  <c r="V127" i="15" s="1"/>
  <c r="W114" i="15"/>
  <c r="W115" i="15"/>
  <c r="W117" i="15"/>
  <c r="W118" i="15"/>
  <c r="W113" i="15"/>
  <c r="R114" i="15"/>
  <c r="R115" i="15"/>
  <c r="R116" i="15"/>
  <c r="R117" i="15"/>
  <c r="R118" i="15"/>
  <c r="O72" i="15"/>
  <c r="O73" i="15"/>
  <c r="O74" i="15"/>
  <c r="O75" i="15"/>
  <c r="O76" i="15"/>
  <c r="O77" i="15"/>
  <c r="O78" i="15"/>
  <c r="O79" i="15"/>
  <c r="O80" i="15"/>
  <c r="T75" i="15"/>
  <c r="T76" i="15"/>
  <c r="T77" i="15"/>
  <c r="T78" i="15"/>
  <c r="T79" i="15"/>
  <c r="T80" i="15"/>
  <c r="T74" i="15"/>
  <c r="T73" i="15"/>
  <c r="T72" i="15"/>
  <c r="T71" i="15"/>
  <c r="T70" i="15"/>
  <c r="T69" i="15"/>
  <c r="BE54" i="15"/>
  <c r="BF54" i="15"/>
  <c r="BE55" i="15"/>
  <c r="BF55" i="15"/>
  <c r="BE56" i="15"/>
  <c r="BF56" i="15"/>
  <c r="BE57" i="15"/>
  <c r="BF57" i="15"/>
  <c r="BE58" i="15"/>
  <c r="BF58" i="15"/>
  <c r="BE59" i="15"/>
  <c r="BF59" i="15"/>
  <c r="R56" i="15"/>
  <c r="R57" i="15"/>
  <c r="N58" i="15"/>
  <c r="R58" i="15"/>
  <c r="N59" i="15"/>
  <c r="R59" i="15"/>
  <c r="R54" i="15"/>
  <c r="R55" i="15"/>
  <c r="BE53" i="15"/>
  <c r="BF53" i="15"/>
  <c r="BF52" i="15"/>
  <c r="BE52" i="15"/>
  <c r="R39" i="15"/>
  <c r="BC40" i="15"/>
  <c r="BE40" i="15" s="1"/>
  <c r="P29" i="15"/>
  <c r="P28" i="15"/>
  <c r="P27" i="15"/>
  <c r="O16" i="15"/>
  <c r="O17" i="15"/>
  <c r="O18" i="15"/>
  <c r="O23" i="15"/>
  <c r="O24" i="15"/>
  <c r="O25" i="15"/>
  <c r="O15" i="15"/>
  <c r="M182" i="15"/>
  <c r="M192" i="15" s="1"/>
  <c r="L19" i="7" s="1"/>
  <c r="X175" i="15"/>
  <c r="M191" i="15" s="1"/>
  <c r="L18" i="7" s="1"/>
  <c r="U164" i="15"/>
  <c r="U163" i="15"/>
  <c r="U162" i="15"/>
  <c r="U161" i="15"/>
  <c r="U160" i="15"/>
  <c r="U159" i="15"/>
  <c r="U158" i="15"/>
  <c r="AA150" i="15"/>
  <c r="J150" i="15"/>
  <c r="AA149" i="15"/>
  <c r="J149" i="15"/>
  <c r="AA148" i="15"/>
  <c r="J148" i="15"/>
  <c r="AA147" i="15"/>
  <c r="AA146" i="15"/>
  <c r="AA145" i="15"/>
  <c r="X107" i="15"/>
  <c r="X106" i="15"/>
  <c r="X105" i="15"/>
  <c r="X104" i="15"/>
  <c r="X103" i="15"/>
  <c r="X102" i="15"/>
  <c r="R53" i="15"/>
  <c r="R52" i="15"/>
  <c r="W45" i="15"/>
  <c r="V45" i="15"/>
  <c r="W44" i="15"/>
  <c r="V44" i="15"/>
  <c r="W43" i="15"/>
  <c r="V43" i="15"/>
  <c r="W42" i="15"/>
  <c r="V42" i="15"/>
  <c r="W41" i="15"/>
  <c r="V41" i="15"/>
  <c r="W40" i="15"/>
  <c r="V40" i="15"/>
  <c r="S40" i="15"/>
  <c r="W39" i="15"/>
  <c r="V39" i="15"/>
  <c r="S39" i="15"/>
  <c r="P19" i="15" l="1"/>
  <c r="P20" i="15"/>
  <c r="P21" i="15"/>
  <c r="P18" i="15"/>
  <c r="P17" i="15"/>
  <c r="U114" i="15"/>
  <c r="X114" i="15" s="1"/>
  <c r="U118" i="15"/>
  <c r="X118" i="15" s="1"/>
  <c r="U117" i="15"/>
  <c r="X117" i="15" s="1"/>
  <c r="X116" i="15"/>
  <c r="U115" i="15"/>
  <c r="X115" i="15" s="1"/>
  <c r="X113" i="15"/>
  <c r="R80" i="15"/>
  <c r="U80" i="15" s="1"/>
  <c r="R74" i="15"/>
  <c r="U74" i="15" s="1"/>
  <c r="R71" i="15"/>
  <c r="R70" i="15"/>
  <c r="R69" i="15"/>
  <c r="O70" i="15"/>
  <c r="R78" i="15"/>
  <c r="U78" i="15" s="1"/>
  <c r="R72" i="15"/>
  <c r="U72" i="15" s="1"/>
  <c r="O71" i="15"/>
  <c r="R73" i="15"/>
  <c r="U73" i="15" s="1"/>
  <c r="R76" i="15"/>
  <c r="U76" i="15" s="1"/>
  <c r="R79" i="15"/>
  <c r="U79" i="15" s="1"/>
  <c r="R77" i="15"/>
  <c r="U77" i="15" s="1"/>
  <c r="R75" i="15"/>
  <c r="U75" i="15" s="1"/>
  <c r="O69" i="15"/>
  <c r="U54" i="15"/>
  <c r="W54" i="15" s="1"/>
  <c r="U55" i="15"/>
  <c r="W55" i="15" s="1"/>
  <c r="U59" i="15"/>
  <c r="W59" i="15" s="1"/>
  <c r="U58" i="15"/>
  <c r="W58" i="15" s="1"/>
  <c r="U57" i="15"/>
  <c r="W57" i="15" s="1"/>
  <c r="U56" i="15"/>
  <c r="W56" i="15" s="1"/>
  <c r="R40" i="15"/>
  <c r="X40" i="15" s="1"/>
  <c r="U53" i="15"/>
  <c r="W53" i="15" s="1"/>
  <c r="U52" i="15"/>
  <c r="W52" i="15" s="1"/>
  <c r="X39" i="15"/>
  <c r="P16" i="15"/>
  <c r="P24" i="15"/>
  <c r="P23" i="15"/>
  <c r="P15" i="15"/>
  <c r="P25" i="15"/>
  <c r="U145" i="15"/>
  <c r="U149" i="15"/>
  <c r="U150" i="15"/>
  <c r="V137" i="15"/>
  <c r="X43" i="15"/>
  <c r="X108" i="15"/>
  <c r="U148" i="15"/>
  <c r="X42" i="15"/>
  <c r="X44" i="15"/>
  <c r="X41" i="15"/>
  <c r="U147" i="15"/>
  <c r="U146" i="15"/>
  <c r="X45" i="15"/>
  <c r="U165" i="15"/>
  <c r="M190" i="15" s="1"/>
  <c r="L17" i="7" s="1"/>
  <c r="U69" i="15" l="1"/>
  <c r="U70" i="15"/>
  <c r="X119" i="15"/>
  <c r="M188" i="15" s="1"/>
  <c r="L15" i="7" s="1"/>
  <c r="N15" i="7" s="1"/>
  <c r="O15" i="7" s="1"/>
  <c r="U71" i="15"/>
  <c r="W60" i="15"/>
  <c r="X46" i="15"/>
  <c r="P26" i="15"/>
  <c r="P30" i="15" s="1"/>
  <c r="U151" i="15"/>
  <c r="M189" i="15" s="1"/>
  <c r="L16" i="7" s="1"/>
  <c r="N17" i="7"/>
  <c r="O17" i="7" s="1"/>
  <c r="N18" i="7"/>
  <c r="O18" i="7" s="1"/>
  <c r="N19" i="7"/>
  <c r="O19" i="7" s="1"/>
  <c r="U81" i="15" l="1"/>
  <c r="M187" i="15" s="1"/>
  <c r="D187" i="15" s="1"/>
  <c r="N16" i="7"/>
  <c r="O16" i="7" s="1"/>
  <c r="M20" i="7"/>
  <c r="M193" i="15" l="1"/>
  <c r="L14" i="7"/>
  <c r="L20" i="7" s="1"/>
  <c r="N14" i="7" l="1"/>
  <c r="N20" i="7" s="1"/>
  <c r="O14" i="7" l="1"/>
  <c r="D14" i="7" s="1"/>
  <c r="O20" i="7" l="1"/>
</calcChain>
</file>

<file path=xl/comments1.xml><?xml version="1.0" encoding="utf-8"?>
<comments xmlns="http://schemas.openxmlformats.org/spreadsheetml/2006/main">
  <authors>
    <author>Raktai</author>
    <author>PYU_Journal</author>
  </authors>
  <commentList>
    <comment ref="S5" authorId="0" shapeId="0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W98" authorId="0" shapeId="0">
      <text>
        <r>
          <rPr>
            <sz val="9"/>
            <color indexed="81"/>
            <rFont val="Tahoma"/>
            <family val="2"/>
          </rPr>
          <t>คิด 3 ภาระงาน/สัปดาห์/โครงการ</t>
        </r>
      </text>
    </comment>
    <comment ref="J100" authorId="0" shapeId="0">
      <text>
        <r>
          <rPr>
            <sz val="9"/>
            <color indexed="81"/>
            <rFont val="Tahoma"/>
            <family val="2"/>
          </rPr>
          <t>12 workloads/week</t>
        </r>
      </text>
    </comment>
    <comment ref="K100" authorId="0" shapeId="0">
      <text>
        <r>
          <rPr>
            <b/>
            <sz val="9"/>
            <color indexed="81"/>
            <rFont val="Tahoma"/>
            <family val="2"/>
          </rPr>
          <t>10 workloads/week</t>
        </r>
      </text>
    </comment>
    <comment ref="L100" authorId="0" shapeId="0">
      <text>
        <r>
          <rPr>
            <sz val="9"/>
            <color indexed="81"/>
            <rFont val="Tahoma"/>
            <family val="2"/>
          </rPr>
          <t>8 ภาระงาน/สัปดาห์
8 workloads/week</t>
        </r>
      </text>
    </comment>
    <comment ref="M100" authorId="0" shapeId="0">
      <text>
        <r>
          <rPr>
            <b/>
            <sz val="9"/>
            <color indexed="81"/>
            <rFont val="Tahoma"/>
            <family val="2"/>
          </rPr>
          <t>7 workloads/week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</rPr>
          <t>5 workloads/week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3 workloads/week</t>
        </r>
      </text>
    </comment>
    <comment ref="P100" authorId="0" shapeId="0">
      <text>
        <r>
          <rPr>
            <b/>
            <sz val="9"/>
            <color indexed="81"/>
            <rFont val="Tahoma"/>
            <family val="2"/>
          </rPr>
          <t>2 workloads/week</t>
        </r>
      </text>
    </comment>
    <comment ref="Q100" authorId="0" shapeId="0">
      <text>
        <r>
          <rPr>
            <b/>
            <sz val="9"/>
            <color indexed="81"/>
            <rFont val="Tahoma"/>
            <family val="2"/>
          </rPr>
          <t>1 workload/week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>7 workloads/week</t>
        </r>
      </text>
    </comment>
    <comment ref="S101" authorId="0" shapeId="0">
      <text>
        <r>
          <rPr>
            <sz val="9"/>
            <color indexed="81"/>
            <rFont val="Tahoma"/>
            <family val="2"/>
          </rPr>
          <t>5 workloads/week</t>
        </r>
      </text>
    </comment>
    <comment ref="T101" authorId="0" shapeId="0">
      <text>
        <r>
          <rPr>
            <sz val="9"/>
            <color indexed="81"/>
            <rFont val="Tahoma"/>
            <family val="2"/>
          </rPr>
          <t>3 workloads/week</t>
        </r>
      </text>
    </comment>
    <comment ref="U101" authorId="0" shapeId="0">
      <text>
        <r>
          <rPr>
            <sz val="9"/>
            <color indexed="81"/>
            <rFont val="Tahoma"/>
            <family val="2"/>
          </rPr>
          <t>2 workloads/week</t>
        </r>
      </text>
    </comment>
    <comment ref="V101" authorId="0" shapeId="0">
      <text>
        <r>
          <rPr>
            <sz val="9"/>
            <color indexed="81"/>
            <rFont val="Tahoma"/>
            <family val="2"/>
          </rPr>
          <t>1 workloads/week</t>
        </r>
      </text>
    </comment>
    <comment ref="M143" authorId="0" shapeId="0">
      <text>
        <r>
          <rPr>
            <sz val="9"/>
            <color indexed="81"/>
            <rFont val="Tahoma"/>
            <family val="2"/>
          </rPr>
          <t>12 workloads/week</t>
        </r>
      </text>
    </comment>
    <comment ref="N143" authorId="0" shapeId="0">
      <text>
        <r>
          <rPr>
            <sz val="9"/>
            <color indexed="81"/>
            <rFont val="Tahoma"/>
            <family val="2"/>
          </rPr>
          <t>10 workloads/week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8 workloads/week</t>
        </r>
      </text>
    </comment>
    <comment ref="P143" authorId="0" shapeId="0">
      <text>
        <r>
          <rPr>
            <sz val="9"/>
            <color indexed="81"/>
            <rFont val="Tahoma"/>
            <family val="2"/>
          </rPr>
          <t>7 workloads/week</t>
        </r>
      </text>
    </comment>
    <comment ref="Q143" authorId="0" shapeId="0">
      <text>
        <r>
          <rPr>
            <sz val="9"/>
            <color indexed="81"/>
            <rFont val="Tahoma"/>
            <family val="2"/>
          </rPr>
          <t>5 workloads/week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>3 workloads/week</t>
        </r>
      </text>
    </comment>
    <comment ref="S143" authorId="0" shapeId="0">
      <text>
        <r>
          <rPr>
            <sz val="9"/>
            <color indexed="81"/>
            <rFont val="Tahoma"/>
            <family val="2"/>
          </rPr>
          <t>2 workloads/week</t>
        </r>
      </text>
    </comment>
    <comment ref="T143" authorId="0" shapeId="0">
      <text>
        <r>
          <rPr>
            <sz val="9"/>
            <color indexed="81"/>
            <rFont val="Tahoma"/>
            <family val="2"/>
          </rPr>
          <t>1 workloads/week</t>
        </r>
      </text>
    </comment>
    <comment ref="K157" authorId="0" shapeId="0">
      <text>
        <r>
          <rPr>
            <sz val="9"/>
            <color indexed="81"/>
            <rFont val="Tahoma"/>
            <family val="2"/>
          </rPr>
          <t>Head/Main working team member/secretary (2 workloads/week/project)</t>
        </r>
      </text>
    </comment>
    <comment ref="L157" authorId="0" shapeId="0">
      <text>
        <r>
          <rPr>
            <sz val="9"/>
            <color indexed="81"/>
            <rFont val="Tahoma"/>
            <family val="2"/>
          </rPr>
          <t>Working team member (1 workloads/week/projec</t>
        </r>
      </text>
    </comment>
    <comment ref="M157" authorId="0" shapeId="0">
      <text>
        <r>
          <rPr>
            <sz val="9"/>
            <color indexed="81"/>
            <rFont val="Tahoma"/>
            <family val="2"/>
          </rPr>
          <t>Participants (0.2 workloads/week/projec)</t>
        </r>
      </text>
    </comment>
    <comment ref="N157" authorId="0" shapeId="0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Working team memberน (1 workloads/week/project)</t>
        </r>
      </text>
    </comment>
    <comment ref="P157" authorId="1" shapeId="0">
      <text>
        <r>
          <rPr>
            <sz val="9"/>
            <color indexed="81"/>
            <rFont val="Tahoma"/>
            <family val="2"/>
          </rPr>
          <t>Participant (0.2workloads/week/project)</t>
        </r>
      </text>
    </comment>
    <comment ref="Q157" authorId="1" shapeId="0">
      <text>
        <r>
          <rPr>
            <sz val="9"/>
            <color indexed="81"/>
            <rFont val="Tahoma"/>
            <family val="2"/>
          </rPr>
          <t>Undergrads/Graduate students (2 workloads/week/project)</t>
        </r>
      </text>
    </comment>
    <comment ref="R157" authorId="1" shapeId="0">
      <text>
        <r>
          <rPr>
            <sz val="9"/>
            <color indexed="81"/>
            <rFont val="Tahoma"/>
            <family val="2"/>
          </rPr>
          <t>Student Union University/Faculty level (1 workload/week/semester)</t>
        </r>
      </text>
    </comment>
    <comment ref="S157" authorId="1" shapeId="0">
      <text>
        <r>
          <rPr>
            <sz val="9"/>
            <color indexed="81"/>
            <rFont val="Tahoma"/>
            <family val="2"/>
          </rPr>
          <t>Student club or project (0.5 workloads/week/semester)</t>
        </r>
      </text>
    </comment>
    <comment ref="D169" authorId="0" shapeId="0">
      <text>
        <r>
          <rPr>
            <sz val="9"/>
            <color indexed="81"/>
            <rFont val="Tahoma"/>
            <family val="2"/>
          </rPr>
          <t>Pls. specify: Ex. Order/Announcement/Board of Trustees, PYU, Faculty/College</t>
        </r>
      </text>
    </comment>
    <comment ref="F169" authorId="0" shapeId="0">
      <text>
        <r>
          <rPr>
            <sz val="9"/>
            <color indexed="81"/>
            <rFont val="Tahoma"/>
            <family val="2"/>
          </rPr>
          <t>PYU No. of Appointment (If any)</t>
        </r>
      </text>
    </comment>
    <comment ref="P169" authorId="0" shapeId="0">
      <text>
        <r>
          <rPr>
            <sz val="9"/>
            <color indexed="81"/>
            <rFont val="Tahoma"/>
            <family val="2"/>
          </rPr>
          <t>Work assigned by the Board of Trustees or PYU</t>
        </r>
      </text>
    </comment>
    <comment ref="Q169" authorId="0" shapeId="0">
      <text>
        <r>
          <rPr>
            <sz val="9"/>
            <color indexed="81"/>
            <rFont val="Tahoma"/>
            <family val="2"/>
          </rPr>
          <t>Course Coordinator/Head
(1 workload/week)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>-A  member of Program Administration Committee (5 workloads/week)
- Faculty members who are responsible for the program but not being assigned to be a member of Program Admin. Committee (2 workloads/week)</t>
        </r>
      </text>
    </comment>
    <comment ref="S169" authorId="1" shapeId="0">
      <text>
        <r>
          <rPr>
            <sz val="9"/>
            <color indexed="81"/>
            <rFont val="Tahoma"/>
            <family val="2"/>
          </rPr>
          <t xml:space="preserve">Committee member appointed at a faculty level </t>
        </r>
      </text>
    </comment>
    <comment ref="T169" authorId="1" shapeId="0">
      <text>
        <r>
          <rPr>
            <sz val="9"/>
            <color indexed="81"/>
            <rFont val="Tahoma"/>
            <family val="2"/>
          </rPr>
          <t>QA committee member</t>
        </r>
      </text>
    </comment>
    <comment ref="U169" authorId="1" shapeId="0">
      <text>
        <r>
          <rPr>
            <sz val="9"/>
            <color indexed="81"/>
            <rFont val="Tahoma"/>
            <family val="2"/>
          </rPr>
          <t xml:space="preserve">QA internal assessor   </t>
        </r>
      </text>
    </comment>
    <comment ref="V169" authorId="1" shapeId="0">
      <text>
        <r>
          <rPr>
            <sz val="9"/>
            <color indexed="81"/>
            <rFont val="Tahoma"/>
            <family val="2"/>
          </rPr>
          <t>Human Research Ethics committee member</t>
        </r>
      </text>
    </comment>
    <comment ref="W169" authorId="1" shapeId="0">
      <text>
        <r>
          <rPr>
            <sz val="9"/>
            <color indexed="81"/>
            <rFont val="Tahoma"/>
            <family val="2"/>
          </rPr>
          <t xml:space="preserve">Being appointed or assigned by PYU to be responsible for works other than teaching/ no administrative position. </t>
        </r>
      </text>
    </comment>
  </commentList>
</comments>
</file>

<file path=xl/comments2.xml><?xml version="1.0" encoding="utf-8"?>
<comments xmlns="http://schemas.openxmlformats.org/spreadsheetml/2006/main">
  <authors>
    <author>Raktai</author>
    <author>PYU_Journal</author>
  </authors>
  <commentList>
    <comment ref="S5" authorId="0" shapeId="0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เลือกจาก list โดย click ที่ลูกศรชี้ลง</t>
        </r>
      </text>
    </comment>
    <comment ref="W98" authorId="0" shapeId="0">
      <text>
        <r>
          <rPr>
            <sz val="9"/>
            <color indexed="81"/>
            <rFont val="Tahoma"/>
            <family val="2"/>
          </rPr>
          <t>คิด 3 ภาระงาน/สัปดาห์/โครงการ</t>
        </r>
      </text>
    </comment>
    <comment ref="J100" authorId="0" shapeId="0">
      <text>
        <r>
          <rPr>
            <sz val="9"/>
            <color indexed="81"/>
            <rFont val="Tahoma"/>
            <family val="2"/>
          </rPr>
          <t>12 workloads/week</t>
        </r>
      </text>
    </comment>
    <comment ref="K100" authorId="0" shapeId="0">
      <text>
        <r>
          <rPr>
            <b/>
            <sz val="9"/>
            <color indexed="81"/>
            <rFont val="Tahoma"/>
            <family val="2"/>
          </rPr>
          <t>10 workloads/week</t>
        </r>
      </text>
    </comment>
    <comment ref="L100" authorId="0" shapeId="0">
      <text>
        <r>
          <rPr>
            <sz val="9"/>
            <color indexed="81"/>
            <rFont val="Tahoma"/>
            <family val="2"/>
          </rPr>
          <t>8 ภาระงาน/สัปดาห์
8 workloads/week</t>
        </r>
      </text>
    </comment>
    <comment ref="M100" authorId="0" shapeId="0">
      <text>
        <r>
          <rPr>
            <b/>
            <sz val="9"/>
            <color indexed="81"/>
            <rFont val="Tahoma"/>
            <family val="2"/>
          </rPr>
          <t>7 workloads/week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</rPr>
          <t>5 workloads/week</t>
        </r>
      </text>
    </comment>
    <comment ref="O100" authorId="0" shapeId="0">
      <text>
        <r>
          <rPr>
            <b/>
            <sz val="9"/>
            <color indexed="81"/>
            <rFont val="Tahoma"/>
            <family val="2"/>
          </rPr>
          <t>3 workloads/week</t>
        </r>
      </text>
    </comment>
    <comment ref="P100" authorId="0" shapeId="0">
      <text>
        <r>
          <rPr>
            <b/>
            <sz val="9"/>
            <color indexed="81"/>
            <rFont val="Tahoma"/>
            <family val="2"/>
          </rPr>
          <t>2 workloads/week</t>
        </r>
      </text>
    </comment>
    <comment ref="Q100" authorId="0" shapeId="0">
      <text>
        <r>
          <rPr>
            <b/>
            <sz val="9"/>
            <color indexed="81"/>
            <rFont val="Tahoma"/>
            <family val="2"/>
          </rPr>
          <t>1 workload/week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>7 workloads/week</t>
        </r>
      </text>
    </comment>
    <comment ref="S101" authorId="0" shapeId="0">
      <text>
        <r>
          <rPr>
            <sz val="9"/>
            <color indexed="81"/>
            <rFont val="Tahoma"/>
            <family val="2"/>
          </rPr>
          <t>5 workloads/week</t>
        </r>
      </text>
    </comment>
    <comment ref="T101" authorId="0" shapeId="0">
      <text>
        <r>
          <rPr>
            <sz val="9"/>
            <color indexed="81"/>
            <rFont val="Tahoma"/>
            <family val="2"/>
          </rPr>
          <t>3 workloads/week</t>
        </r>
      </text>
    </comment>
    <comment ref="U101" authorId="0" shapeId="0">
      <text>
        <r>
          <rPr>
            <sz val="9"/>
            <color indexed="81"/>
            <rFont val="Tahoma"/>
            <family val="2"/>
          </rPr>
          <t>2 workloads/week</t>
        </r>
      </text>
    </comment>
    <comment ref="V101" authorId="0" shapeId="0">
      <text>
        <r>
          <rPr>
            <sz val="9"/>
            <color indexed="81"/>
            <rFont val="Tahoma"/>
            <family val="2"/>
          </rPr>
          <t>1 workloads/week</t>
        </r>
      </text>
    </comment>
    <comment ref="M143" authorId="0" shapeId="0">
      <text>
        <r>
          <rPr>
            <sz val="9"/>
            <color indexed="81"/>
            <rFont val="Tahoma"/>
            <family val="2"/>
          </rPr>
          <t>12 workloads/week</t>
        </r>
      </text>
    </comment>
    <comment ref="N143" authorId="0" shapeId="0">
      <text>
        <r>
          <rPr>
            <sz val="9"/>
            <color indexed="81"/>
            <rFont val="Tahoma"/>
            <family val="2"/>
          </rPr>
          <t>10 workloads/week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8 workloads/week</t>
        </r>
      </text>
    </comment>
    <comment ref="P143" authorId="0" shapeId="0">
      <text>
        <r>
          <rPr>
            <sz val="9"/>
            <color indexed="81"/>
            <rFont val="Tahoma"/>
            <family val="2"/>
          </rPr>
          <t>7 workloads/week</t>
        </r>
      </text>
    </comment>
    <comment ref="Q143" authorId="0" shapeId="0">
      <text>
        <r>
          <rPr>
            <sz val="9"/>
            <color indexed="81"/>
            <rFont val="Tahoma"/>
            <family val="2"/>
          </rPr>
          <t>5 workloads/week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>3 workloads/week</t>
        </r>
      </text>
    </comment>
    <comment ref="S143" authorId="0" shapeId="0">
      <text>
        <r>
          <rPr>
            <sz val="9"/>
            <color indexed="81"/>
            <rFont val="Tahoma"/>
            <family val="2"/>
          </rPr>
          <t>2 workloads/week</t>
        </r>
      </text>
    </comment>
    <comment ref="T143" authorId="0" shapeId="0">
      <text>
        <r>
          <rPr>
            <sz val="9"/>
            <color indexed="81"/>
            <rFont val="Tahoma"/>
            <family val="2"/>
          </rPr>
          <t>1 workloads/week</t>
        </r>
      </text>
    </comment>
    <comment ref="K157" authorId="0" shapeId="0">
      <text>
        <r>
          <rPr>
            <sz val="9"/>
            <color indexed="81"/>
            <rFont val="Tahoma"/>
            <family val="2"/>
          </rPr>
          <t>Head/Main working team member/secretary (2 workloads/week/project)</t>
        </r>
      </text>
    </comment>
    <comment ref="L157" authorId="0" shapeId="0">
      <text>
        <r>
          <rPr>
            <sz val="9"/>
            <color indexed="81"/>
            <rFont val="Tahoma"/>
            <family val="2"/>
          </rPr>
          <t>Working team member (1 workloads/week/projec</t>
        </r>
      </text>
    </comment>
    <comment ref="M157" authorId="0" shapeId="0">
      <text>
        <r>
          <rPr>
            <sz val="9"/>
            <color indexed="81"/>
            <rFont val="Tahoma"/>
            <family val="2"/>
          </rPr>
          <t>Participants (0.2 workloads/week/projec)</t>
        </r>
      </text>
    </comment>
    <comment ref="N157" authorId="0" shapeId="0">
      <text>
        <r>
          <rPr>
            <sz val="9"/>
            <color indexed="81"/>
            <rFont val="Tahoma"/>
            <family val="2"/>
          </rPr>
          <t>การเป็นหัวหน้า/ผู้รับผิดชอบหลัก/เลขานุการโครงการ (2 ภาระงาน/สัปดาห์/โครงการ)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Working team memberน (1 workloads/week/project)</t>
        </r>
      </text>
    </comment>
    <comment ref="P157" authorId="1" shapeId="0">
      <text>
        <r>
          <rPr>
            <sz val="9"/>
            <color indexed="81"/>
            <rFont val="Tahoma"/>
            <family val="2"/>
          </rPr>
          <t>Participant (0.2workloads/week/project)</t>
        </r>
      </text>
    </comment>
    <comment ref="Q157" authorId="1" shapeId="0">
      <text>
        <r>
          <rPr>
            <sz val="9"/>
            <color indexed="81"/>
            <rFont val="Tahoma"/>
            <family val="2"/>
          </rPr>
          <t>Undergrads/Graduate students (2 workloads/week/project)</t>
        </r>
      </text>
    </comment>
    <comment ref="R157" authorId="1" shapeId="0">
      <text>
        <r>
          <rPr>
            <sz val="9"/>
            <color indexed="81"/>
            <rFont val="Tahoma"/>
            <family val="2"/>
          </rPr>
          <t>Student Union University/Faculty level (1 workload/week/semester)</t>
        </r>
      </text>
    </comment>
    <comment ref="S157" authorId="1" shapeId="0">
      <text>
        <r>
          <rPr>
            <sz val="9"/>
            <color indexed="81"/>
            <rFont val="Tahoma"/>
            <family val="2"/>
          </rPr>
          <t>Student club or project (0.5 workloads/week/semester)</t>
        </r>
      </text>
    </comment>
    <comment ref="D169" authorId="0" shapeId="0">
      <text>
        <r>
          <rPr>
            <sz val="9"/>
            <color indexed="81"/>
            <rFont val="Tahoma"/>
            <family val="2"/>
          </rPr>
          <t>Pls. specify: Ex. Order/Announcement/Board of Trustees, PYU, Faculty/College</t>
        </r>
      </text>
    </comment>
    <comment ref="F169" authorId="0" shapeId="0">
      <text>
        <r>
          <rPr>
            <sz val="9"/>
            <color indexed="81"/>
            <rFont val="Tahoma"/>
            <family val="2"/>
          </rPr>
          <t>PYU No. of Appointment (If any)</t>
        </r>
      </text>
    </comment>
    <comment ref="P169" authorId="0" shapeId="0">
      <text>
        <r>
          <rPr>
            <sz val="9"/>
            <color indexed="81"/>
            <rFont val="Tahoma"/>
            <family val="2"/>
          </rPr>
          <t>Work assigned by the Board of Trustees or PYU</t>
        </r>
      </text>
    </comment>
    <comment ref="Q169" authorId="0" shapeId="0">
      <text>
        <r>
          <rPr>
            <sz val="9"/>
            <color indexed="81"/>
            <rFont val="Tahoma"/>
            <family val="2"/>
          </rPr>
          <t>Course Coordinator/Head
(1 workload/week)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>-A  member of Program Administration Committee (5 workloads/week)
- Faculty members who are responsible for the program but not being assigned to be a member of Program Admin. Committee (2 workloads/week)</t>
        </r>
      </text>
    </comment>
    <comment ref="S169" authorId="1" shapeId="0">
      <text>
        <r>
          <rPr>
            <sz val="9"/>
            <color indexed="81"/>
            <rFont val="Tahoma"/>
            <family val="2"/>
          </rPr>
          <t xml:space="preserve">Committee member appointed at a faculty level </t>
        </r>
      </text>
    </comment>
    <comment ref="T169" authorId="1" shapeId="0">
      <text>
        <r>
          <rPr>
            <sz val="9"/>
            <color indexed="81"/>
            <rFont val="Tahoma"/>
            <family val="2"/>
          </rPr>
          <t>QA committee member</t>
        </r>
      </text>
    </comment>
    <comment ref="U169" authorId="1" shapeId="0">
      <text>
        <r>
          <rPr>
            <sz val="9"/>
            <color indexed="81"/>
            <rFont val="Tahoma"/>
            <family val="2"/>
          </rPr>
          <t xml:space="preserve">QA internal assessor   </t>
        </r>
      </text>
    </comment>
    <comment ref="V169" authorId="1" shapeId="0">
      <text>
        <r>
          <rPr>
            <sz val="9"/>
            <color indexed="81"/>
            <rFont val="Tahoma"/>
            <family val="2"/>
          </rPr>
          <t>Human Research Ethics committee member</t>
        </r>
      </text>
    </comment>
    <comment ref="W169" authorId="1" shapeId="0">
      <text>
        <r>
          <rPr>
            <sz val="9"/>
            <color indexed="81"/>
            <rFont val="Tahoma"/>
            <family val="2"/>
          </rPr>
          <t xml:space="preserve">Being appointed or assigned by PYU to be responsible for works other than teaching/ no administrative position. </t>
        </r>
      </text>
    </comment>
  </commentList>
</comments>
</file>

<file path=xl/sharedStrings.xml><?xml version="1.0" encoding="utf-8"?>
<sst xmlns="http://schemas.openxmlformats.org/spreadsheetml/2006/main" count="1603" uniqueCount="811">
  <si>
    <t>มหาวิทยาลัยพายัพ</t>
  </si>
  <si>
    <t>สาขาวิชา</t>
  </si>
  <si>
    <t>ลำดับ</t>
  </si>
  <si>
    <t>จำนวนนักศึกษา</t>
  </si>
  <si>
    <t>1 - 19</t>
  </si>
  <si>
    <t>20 - 39</t>
  </si>
  <si>
    <t>40 - 59</t>
  </si>
  <si>
    <t>60 - 79</t>
  </si>
  <si>
    <t>80 - 100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</si>
  <si>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</si>
  <si>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</si>
  <si>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</si>
  <si>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</si>
  <si>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</si>
  <si>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</si>
  <si>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</si>
  <si>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</si>
  <si>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</si>
  <si>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Information Technology</t>
  </si>
  <si>
    <t>International Business Management</t>
  </si>
  <si>
    <t>Hospitality Industry Management</t>
  </si>
  <si>
    <t>ภารกิจ/สัปดาห์</t>
  </si>
  <si>
    <t>ลักษณะงานสอน</t>
  </si>
  <si>
    <t>การสอนระดับปริญญาตรีทุกหลักสูตร</t>
  </si>
  <si>
    <t>การสอนระดับบัณฑิตศึกษาทุกหลักสูตร</t>
  </si>
  <si>
    <t>1-30 คน</t>
  </si>
  <si>
    <t>31 คนขึ้นไป</t>
  </si>
  <si>
    <t>ร้อยละการมีส่วนร่วมในโครงการ</t>
  </si>
  <si>
    <t>80-100</t>
  </si>
  <si>
    <t>60-79</t>
  </si>
  <si>
    <t>40-59</t>
  </si>
  <si>
    <t>20-39</t>
  </si>
  <si>
    <t>1-19</t>
  </si>
  <si>
    <t>เป็นผู้ทรงคุณวุฒิ ที่ปรึกษา กรรมการวิชาการ และ/หรือ กรรมการวิชาชีพภายนอก</t>
  </si>
  <si>
    <t>ต่อโครงการ</t>
  </si>
  <si>
    <t>งานบริการวิชาการอื่น ๆ</t>
  </si>
  <si>
    <t>อยู่ในดุลยพินิจของคณะวิชา (ผู้ดำเนินโครงการ ต่อครั้ง)</t>
  </si>
  <si>
    <t>อยู่ในดุลยพินิจของคณะวิชา (ผู้เข้าร่วมโครงการ ต่อครั้ง)</t>
  </si>
  <si>
    <t>ü</t>
  </si>
  <si>
    <t>ต่อภาคการศึกษา</t>
  </si>
  <si>
    <t>ตำแหน่ง</t>
  </si>
  <si>
    <t>การเป็นผู้ที่ได้รับมอบหมายโดยมหาวิทยาลัยให้รับผิดชอบงานอื่นที่มิใช่งานสอน โดยไม่มีตำแหน่งบริหาร</t>
  </si>
  <si>
    <t>อธิการบดี</t>
  </si>
  <si>
    <t>รองอธิการบดี</t>
  </si>
  <si>
    <t>ผู้ช่วยอธิการบดี/คณบดี</t>
  </si>
  <si>
    <t>-</t>
  </si>
  <si>
    <t>ผู้ช่วยรองอธิการบดี</t>
  </si>
  <si>
    <t>ผู้อำนวยการ</t>
  </si>
  <si>
    <t>ภาระงาน (ภารกิจ/สัปดาห์)</t>
  </si>
  <si>
    <t>สัดส่วนภาระการสอน</t>
  </si>
  <si>
    <t>เกณฑ์การสอน (หน่วยกิต)</t>
  </si>
  <si>
    <t>รวมภาระงาน งานในตำแหน่งบริหาร</t>
  </si>
  <si>
    <t>(...............................................)</t>
  </si>
  <si>
    <t>ตำแหน่ง...................................................</t>
  </si>
  <si>
    <t>วันที่............/........................./............</t>
  </si>
  <si>
    <t>English Communication</t>
  </si>
  <si>
    <t>International MBA</t>
  </si>
  <si>
    <t>Linguistics MA</t>
  </si>
  <si>
    <t>TESOL MA</t>
  </si>
  <si>
    <t>Divinity MDiv</t>
  </si>
  <si>
    <t>Peacebuilding PhD</t>
  </si>
  <si>
    <t>สาขาวิชานิติศาสตร์</t>
  </si>
  <si>
    <t>สาขาวิชาเภสัชศาสตร์</t>
  </si>
  <si>
    <t>สาขาวิชาเศรษฐศาสตร์</t>
  </si>
  <si>
    <t>วิทยาลัยนานาชาติ (International College)</t>
  </si>
  <si>
    <t>วิทยาลัยดุริยศิลป์ (College of Music)</t>
  </si>
  <si>
    <t>วิทยาลัยพระคริสต์ธรรมแมคกิลวารี (McGilvary College of Divinity)</t>
  </si>
  <si>
    <t>คณะนิติศาสตร์ (Faculty of Law)</t>
  </si>
  <si>
    <t>คณะเภสัชศาสตร์ (Faculty of Pharmacy)</t>
  </si>
  <si>
    <t>คณะพยาบาลศาสตร์แมคคอร์มิค (McCormick Faculty of Nursing)</t>
  </si>
  <si>
    <t>สถาบันดนตรี</t>
  </si>
  <si>
    <t>สาขาวิชาดุริยศิลป์</t>
  </si>
  <si>
    <t>สาขาวิชาภาษาไทยเพื่อการสื่อสาร</t>
  </si>
  <si>
    <t>สาขาวิชาภาษาอังกฤษ</t>
  </si>
  <si>
    <t>สาขาวิชาภาษาและวัฒนธรรมญี่ปุ่น</t>
  </si>
  <si>
    <t>สาขาวิชาภาษาและวัฒนธรรมจีน</t>
  </si>
  <si>
    <t>สาขาวิชาจิตวิทยา</t>
  </si>
  <si>
    <t>สาขาวิชาการตลาด</t>
  </si>
  <si>
    <t>สาขาวิชาการจัดการ</t>
  </si>
  <si>
    <t>สาขาวิชาการจัดการโรงแรม</t>
  </si>
  <si>
    <t>สาขาวิชาบริหารธุรกิจ (MBA)</t>
  </si>
  <si>
    <t>สาขาวิชาวิทยาการคอมพิวเตอร์</t>
  </si>
  <si>
    <t>สาขาวิชาวิศวกรรมซอฟต์แวร์</t>
  </si>
  <si>
    <t>สาขาวิชาวิทยาศาสตร์และเทคโนโลยีอาหาร</t>
  </si>
  <si>
    <t>สาขาวิชาการบัญชี</t>
  </si>
  <si>
    <t>สาขาวิชาการเงินและการธนาคาร</t>
  </si>
  <si>
    <t>สาขาวิชาพยาบาลศาสตร์</t>
  </si>
  <si>
    <t>สาขาวิชานิเทศศาสตร์</t>
  </si>
  <si>
    <t>ฝ่ายบริหาร</t>
  </si>
  <si>
    <t>สภามหาวิทยาลัย</t>
  </si>
  <si>
    <t>ผู้ประสานงานหลักสูตร คณาจารย์ที่ได้รับมอบหมาย/แต่งตั้งให้รับผิดชอบงานอื่นที่ไม่ใช่งานสอนโดยไม่มีตำแหน่งบริหาร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</si>
  <si>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</si>
  <si>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</si>
  <si>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</si>
  <si>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</si>
  <si>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การคิดภาระงาน</t>
  </si>
  <si>
    <t>ข้อ 9 (2) งานสอนที่มีลักษณะพิเศษ</t>
  </si>
  <si>
    <t>ข้อ 9 (1) งานสอนปกติ</t>
  </si>
  <si>
    <t>งานสอนแบบบรรยาย</t>
  </si>
  <si>
    <t>ข้อ 10 (1) งานสอนปกติ</t>
  </si>
  <si>
    <t>ข้อ 10 (2) งานสอนที่มีลักษณะพิเศษ</t>
  </si>
  <si>
    <t>การเป็นกรรมการสอบโครงร่างการค้นคว้าอิสระ</t>
  </si>
  <si>
    <t>การเป็นกรรมการสอบการค้นคว้าอิสระ</t>
  </si>
  <si>
    <t>การเป็นกรรมการสอบโครงร่างวิทยานิพนธ์</t>
  </si>
  <si>
    <t>การเป็นกรรมการสอบวิทยานิพนธ์</t>
  </si>
  <si>
    <t>งานสอนแบบฏิบัติ</t>
  </si>
  <si>
    <t>จำนวนทุนวิจัยที่ได้รับตามสัดส่วนในโครงการ</t>
  </si>
  <si>
    <t>1,000,000 บาทขึ้นไป</t>
  </si>
  <si>
    <t>500,000 - 999,999 บาท</t>
  </si>
  <si>
    <t>100,000 - 499,999 บาท</t>
  </si>
  <si>
    <t>80,000 - 99,999 บาท</t>
  </si>
  <si>
    <t>60,000 - 79,999 บาท</t>
  </si>
  <si>
    <t>40,000 - 59,999 บาท</t>
  </si>
  <si>
    <t>20,000 - 39,999 บาท</t>
  </si>
  <si>
    <t>ไม่เกิน - 19,999 บาท</t>
  </si>
  <si>
    <t>ตำรา</t>
  </si>
  <si>
    <t xml:space="preserve">คณาจารย์ที่มิได้ดำรงตำแหน่งบริหาร ซึ่งได้รับมอบหมายให้รับผิดชอบงานอื่น </t>
  </si>
  <si>
    <t>ฝ่ายวิชาการและวิจัย</t>
  </si>
  <si>
    <t>รายวิชาสอน</t>
  </si>
  <si>
    <t>X (X-X-X)</t>
  </si>
  <si>
    <t>หน่วยกิต</t>
  </si>
  <si>
    <t>20,000-39,999</t>
  </si>
  <si>
    <t>40,000-59,999</t>
  </si>
  <si>
    <t>60,000-79,999</t>
  </si>
  <si>
    <t>80,000-99,999</t>
  </si>
  <si>
    <t>100,000-499,999</t>
  </si>
  <si>
    <t>500,000-999,999</t>
  </si>
  <si>
    <t>คณะมนุษยศาสตร์และนิเทศศาสตร์ (Faculty of Humanities and Communication Arts)</t>
  </si>
  <si>
    <t>งานสอนในหลักสูตรระยะสั้น</t>
  </si>
  <si>
    <t>หนังสือ</t>
  </si>
  <si>
    <t>งานแปล</t>
  </si>
  <si>
    <t>Software</t>
  </si>
  <si>
    <t>ผลงานสร้างสรรค์ด้านวิทยาศาสตร์</t>
  </si>
  <si>
    <t>ผลงานสร้างสรรค์ด้านสุนทรียะ</t>
  </si>
  <si>
    <t>ผลงานวิชาการเพื่อพัฒนานโยบายสาธารณะ</t>
  </si>
  <si>
    <t>ผลงานวิชาการรับใช้สังคม</t>
  </si>
  <si>
    <t>ผลงานอื่นๆ ตามประกาศ กกอ.</t>
  </si>
  <si>
    <t>ลักษณะของงาน</t>
  </si>
  <si>
    <t>การผลิตผลงานวิชาการเพื่อใช้ประเมินการสอนประกอบการเข้าสู่ตำแหน่งทางวิชาการ</t>
  </si>
  <si>
    <t>เอกสารประกอบการสอน</t>
  </si>
  <si>
    <t>การผลิตนวัตกรรม</t>
  </si>
  <si>
    <t>สื่อการสอน</t>
  </si>
  <si>
    <t>ชุดการสอน</t>
  </si>
  <si>
    <t>สิ่งประดิษฐ์</t>
  </si>
  <si>
    <t>ผลงานอื่นในลักษณะเดียวกัน</t>
  </si>
  <si>
    <t>การเผยแพร่ผลงานฯ</t>
  </si>
  <si>
    <t>ในระดับชาติ</t>
  </si>
  <si>
    <t>ในระดับนานาชาติ</t>
  </si>
  <si>
    <t>งานวิจัย และ/หรือ ผลงานวิชาการที่ได้รับรางวัล</t>
  </si>
  <si>
    <t>มีการจดสิทธิบัตร</t>
  </si>
  <si>
    <t>รางวัลระดับชาติ</t>
  </si>
  <si>
    <t>รางวัลระดับนานาชาติ</t>
  </si>
  <si>
    <t xml:space="preserve"> </t>
  </si>
  <si>
    <t>อื่น ๆ</t>
  </si>
  <si>
    <t>สอนวิชาภาคฝึกปฏิบัติ/ภาคสนาม/รายวิชาอื่นที่คล้ายกัน</t>
  </si>
  <si>
    <t>หลักเกณฑ์ว่าด้วย การกำหนดภาระงานของอาจารย์มหาวิทยาลัยพายัพ พ.ศ. 2564</t>
  </si>
  <si>
    <t>ภาระงาน/สัปดาห์</t>
  </si>
  <si>
    <t>งานสอนแบบปฏิบัติ</t>
  </si>
  <si>
    <t xml:space="preserve">          งานสอนแบบปฏิบัติ</t>
  </si>
  <si>
    <t xml:space="preserve">         งานสอนแบบบรรยาย</t>
  </si>
  <si>
    <t xml:space="preserve">         งานสอนแบบปฏิบัติ</t>
  </si>
  <si>
    <t>การเป็นอาจารย์ผู้ประสานงานและนิเทศสหกิจศึกษา</t>
  </si>
  <si>
    <t xml:space="preserve">         อาจารย์ผู้ประสานงานรายวิชา</t>
  </si>
  <si>
    <t xml:space="preserve">         อาจารย์ผู้นิเทศ</t>
  </si>
  <si>
    <t>สอน 1 ชั่วโมง คิดเป็น 0.15 ภาระงานต่อสัปดาห์</t>
  </si>
  <si>
    <t>สอน 1 ชั่วโมง คิดเป็น 0.10 ภาระงานต่อสัปดาห์</t>
  </si>
  <si>
    <t>การเป็นอาจารย์ในรายวิชาสารนิพนธ์/ค้นคว้าอิสระ/รายวิชาโครงาน หรือรายวิชาอื่นที่มีลักษณะคล้ายคลึง</t>
  </si>
  <si>
    <t xml:space="preserve">         อาจารย์ที่ปรึกษาหลัก</t>
  </si>
  <si>
    <t xml:space="preserve">         อาจารย์ที่ปรึกษาร่วม</t>
  </si>
  <si>
    <t>0.5 ภาระงานต่อสัปดาห์ ต่อ 1 โครงงาน</t>
  </si>
  <si>
    <t xml:space="preserve">            ระยะทางมากกว่า 100 กม.</t>
  </si>
  <si>
    <t xml:space="preserve">            ระยะทางน้อยกว่า 100 กม.</t>
  </si>
  <si>
    <t>งานสอนในรายวิชาฝึกปฏิบัติ (practicum)/ ภาคสนาม/รายวิชาอื่นที่คล้ายคลึงกัน คิดได้เป็น 3 กรณี</t>
  </si>
  <si>
    <t xml:space="preserve">  1.  นับตามจำนวนชั่วโมงที่ไปนิเทศงานจริงในรายวิชา</t>
  </si>
  <si>
    <t xml:space="preserve">  2.   คิดตามระยะทางที่ไปยังแหล่งฝึกปฏิบัติ</t>
  </si>
  <si>
    <t>ให้</t>
  </si>
  <si>
    <t xml:space="preserve">  3.   ให้อยู่ในดุลยพินิจของคณะวิชา</t>
  </si>
  <si>
    <t xml:space="preserve">ข้อ 11 การคิดสัดส่วนการสอนสำหรับการสอนในลักษณะอื่น ๆ </t>
  </si>
  <si>
    <t>กรณีอาจารย์รับผิดชอบงานสอนหลักทั้งรายวิชาในรายวิชาที่แตกต่างกัน ตั้งแต่ 3 รายวิชาขึ้นไป</t>
  </si>
  <si>
    <t>1.1 กรณีอาจารย์รับผิดชอบงานสอนทั้งรายวิชาใน 3 รายวิชาที่แตกต่างกัน</t>
  </si>
  <si>
    <t>1.2 กรณีอาจารย์รับผิดชอบงานสอนทั้งรายวิชาใน 4 รายวิชาที่แตกต่างกัน</t>
  </si>
  <si>
    <t>1.3 กรณีอาจารย์รับผิดชอบงานสอนทั้งรายวิชาใน 5 รายวิชาที่แตกต่างกัน</t>
  </si>
  <si>
    <t>จำนวน นศ.</t>
  </si>
  <si>
    <t>นับเพิ่มอีก 1</t>
  </si>
  <si>
    <t>นับเพิ่มอีก 2</t>
  </si>
  <si>
    <t>นับเพิ่มอีก 3</t>
  </si>
  <si>
    <t xml:space="preserve">        สอนแบบบรรยาย</t>
  </si>
  <si>
    <t>1-15 คน</t>
  </si>
  <si>
    <t>16 คนขึ้นไป</t>
  </si>
  <si>
    <t xml:space="preserve">การคิดภาระงาน </t>
  </si>
  <si>
    <t>ข้อ 13 (2) กรณีงานวิจัย/งานสร้างสรรค์ ที่ได้รับทุนสนับสนุนจากหน่วยงานภายนอก ให้นับภาระงานได้ไม่เกิน</t>
  </si>
  <si>
    <t>การเป็นอาจารย์ที่ปรึกษาการค้นคว้าอิสระ/รายวิชาโครงงาน หรือรายวิชาอื่นที่มีลักษณะคล้ายคลึงกัน</t>
  </si>
  <si>
    <t>อาจารย์ที่ปรึกษาหลัก</t>
  </si>
  <si>
    <t>อาจารย์ที่ปรึกษาร่วม</t>
  </si>
  <si>
    <t>1 ภาระงาน ต่อสัปดาห์ ต่อ 1 โครงงาน</t>
  </si>
  <si>
    <t>0.5 ภาระงาน ต่อสัปดาห์ ต่อ 1 โครงงาน</t>
  </si>
  <si>
    <t>การเป็นอาจารย์ที่ปรึกษาวิทยานิพนธ์</t>
  </si>
  <si>
    <t>1.5 ภาระงาน ต่อสัปดาห์ ต่อนักศึกษา 1 คน</t>
  </si>
  <si>
    <t>0.5 ภาระงาน ต่อสัปดาห์ ต่อนักศึกษา 1 คน</t>
  </si>
  <si>
    <t xml:space="preserve">งานสอนในรายวิชาฝึกปฏิบัติ (practicum)/ ภาคสนาม/รายวิชาอื่นที่คล้ายคลึงกัน </t>
  </si>
  <si>
    <t xml:space="preserve">ต่อนักศึกษา 1 คน </t>
  </si>
  <si>
    <t>หมวดที่ 3 ภาระงานวิจัยและวิชาการอื่น ข้อ 13 (3)- ข้อ 13 (7)</t>
  </si>
  <si>
    <t>การวิจัยในชั้นเรียน</t>
  </si>
  <si>
    <t>ภาคการศึกษาที่นับได้</t>
  </si>
  <si>
    <t>การคิดภาระงานให้อยู่ในดุลยพินิจของคณะวิชา หรือ หน่วยงานต้นสังกัด คิดได้ไม่เกิน 7 ภาระงาน/สัปดาห์/1 ผลงงาน</t>
  </si>
  <si>
    <t>3 ภาระงาน/ สัปดาห์/ 1 โครงงาน</t>
  </si>
  <si>
    <t>ไม่เกิน 4 ภาคการศึกษาปกติ</t>
  </si>
  <si>
    <t>หมวดที่ 4 ข้อ 15 การคิดสัดส่วนภาระงานบริการวิชาการรับใช้สังคม และ/หรือ งานบริการวิชาการที่หารายได้ นับเฉพาะงานที่ได้รับความเห็นชอบจากมหาวิทยาลัย และอาจารย์ต้องไม่ได้รับค่าตอบแทนอย่างใด ๆ</t>
  </si>
  <si>
    <t>นับได้ 1 ภาคการศึกษา</t>
  </si>
  <si>
    <t>2 ภาระงาน/ สัปดาห์/ 1 ผลงาน</t>
  </si>
  <si>
    <t>ให้อยู่ในดุลยพินิจของคณะวิชาหรือหน่วยงานต้นสังกัด ไม่เกิน 7 ภาระงาน/สัปดาห์/1 ผลงาน</t>
  </si>
  <si>
    <t xml:space="preserve">การเผยแพร่ผลงานวิจัยและ/หรือผลงานวิชาการ </t>
  </si>
  <si>
    <t>งานวิจัยและ/ หรือ ผลงานวิชาการที่ได้รับรางวัล</t>
  </si>
  <si>
    <t>3 ภาระงาน/ สัปดาห์/ 1 ผลงาน</t>
  </si>
  <si>
    <t>5 ภาระงาน/ สัปดาห์/ 1 ผลงาน</t>
  </si>
  <si>
    <t xml:space="preserve"> มีการจดสิทธิบัตร</t>
  </si>
  <si>
    <t xml:space="preserve"> รางวัลระดับชาติ</t>
  </si>
  <si>
    <t xml:space="preserve"> รางวัลระดับนานาชาติ</t>
  </si>
  <si>
    <t>หัวหน้า/ผู้รับผิดชอบหลัก/เลขานุการ โครงการบริการวิชาการ</t>
  </si>
  <si>
    <t>ผู้รับผิดชอบ/คณะทำงานร่วมโครงการบริการวิชาการ</t>
  </si>
  <si>
    <t>เป็นกรรมการสอบโครงร่างการค้นคว้าอิสระ/วิทยานิพนธ์ภายนอก</t>
  </si>
  <si>
    <t>เป็นกรรมการสอบการค้นคว้าอิสระ/วิทยานิพนธ์ภายนอก</t>
  </si>
  <si>
    <t>ต่อ 1 โครงร่าง</t>
  </si>
  <si>
    <t>ต่อ 1 ผลงาน</t>
  </si>
  <si>
    <t>นับได้ตามช่วงเวลาที่ได้รับการแต่งตั้ง</t>
  </si>
  <si>
    <t xml:space="preserve">                        ลักษณะของงาน</t>
  </si>
  <si>
    <t>ต่อการเป็นกรรมการ 1 ครั้ง</t>
  </si>
  <si>
    <t>เป็นกรรมการผู้ทรงคุณวุฒิเพื่อพิจารณาแต่งตั้งบุคคลให้ดำรงตำแหน่งทางวิชาการ</t>
  </si>
  <si>
    <t>เป็นวิทยากรภายในสถาบัน</t>
  </si>
  <si>
    <t>เป็นวิทยากรภายนอกสถาบัน</t>
  </si>
  <si>
    <t>งานบริการวิชาการตามข้อกำหนดของสภาวิชาชีพ</t>
  </si>
  <si>
    <t>ให้เป็นไปตามดุลยพินิจของผู้บริหารในหน่วยงานนั้น ๆ</t>
  </si>
  <si>
    <t>ต่อการบรรยาย 1 ชั่วโมง</t>
  </si>
  <si>
    <t>ไม่เกิน 0.5</t>
  </si>
  <si>
    <t>ไม่เกิน 0.2</t>
  </si>
  <si>
    <t>หมวดที่ 5 ข้อ 18 การคิดสัดส่วนภาระงานทำนุบำรุงศิลปวัฒนธรรมและ/หรืองานพัฒนานักศึกษา</t>
  </si>
  <si>
    <t>หัวหน้า/ผู้รับผิดชอบหลัก/เลขานุการ โครงการทำนุบำรุงศิลปวัฒนธรรม</t>
  </si>
  <si>
    <t>ผู้รับผิดชอบ/คณะทำงานร่วมโครงการทำนุบำรุงศิลปวัฒนธรรม</t>
  </si>
  <si>
    <t>การเข้าร่วมกิจกรรมทำนุบำรุงศิลปวัฒนธรรม</t>
  </si>
  <si>
    <t>หัวหน้า/ผู้รับผิดชอบหลัก/เลขานุการ โครงการพัฒนานักศึกษา (เสริมหลักสูตรและนอกหลักสูตร)</t>
  </si>
  <si>
    <t>ผู้รับผิดชอบ/คณะทำงานร่วมโครงการโครงการพัฒนานักศึกษา (เสริมหลักสูตรและนอกหลักสูตร)</t>
  </si>
  <si>
    <t>การเข้าร่วมโครงการพัฒนานักศึกษา</t>
  </si>
  <si>
    <t>อาจารย์ที่ปรึกษาสโมสรนักศึกษาของมหาวิทยาลัย/คณะ</t>
  </si>
  <si>
    <t>อาจารย์ที่ปรึกษาชมรม หรือโครงการ</t>
  </si>
  <si>
    <t>ประธานวิชา/ ผู้ประสานงานวิชา</t>
  </si>
  <si>
    <t>การคิดภาระงานให้ได้ไม่เกิน 18 ภาระงาน/สัปดาห์ ทั้งนี้ ให้นำเสนอสายบังคับบัญชา ตามลำดับ เพื่อขออนุมัติจากอธิการบดีต่อไป</t>
  </si>
  <si>
    <t xml:space="preserve">คณะกรรมการอื่นที่แต่งตั้งโดยคณะวิชา/ ฝ่ายต่าง ๆ </t>
  </si>
  <si>
    <t xml:space="preserve">ภาระงานที่ได้รับมอบหมายให้เป็นผู้ประเมินคุณภาพภายใน                </t>
  </si>
  <si>
    <t>หมวดที่ 6 ข้อ 20 การคิดสัดส่วนภาระงานอื่น ๆ ที่สอดคล้องกับพันธกิจของมหาวิทยาลัย/ คณะวิชา</t>
  </si>
  <si>
    <t>มี</t>
  </si>
  <si>
    <t>ภาระงานที่ได้รับมอบหมายจากสภามหาวิทยาลัย/ มหาวิทยาลัย                 -หัวหน้า/ผู้รับผิดชอบ/ประธานกรรมการ/ประธานอนุกรรมการ/เลขานุการ</t>
  </si>
  <si>
    <t xml:space="preserve"> -ผู้รับผิดชอบร่วม/คณะทำงาน/กรรมการ/อนุกรรมการ </t>
  </si>
  <si>
    <t>กรณีเป็นอาจารย์ผู้รับผิดชอบหลักสูตรโดยไม่ได้เป็นกรรมการบริการประจำหลักสูตร</t>
  </si>
  <si>
    <t xml:space="preserve">คณะกรรมการบริหารประจำหลักสูตร </t>
  </si>
  <si>
    <t>ให้เป็นไปตามดุลยพินิจของผู้บริหารในหน่วยงานนั้น ๆ โดยไม่เกิน 5 ภาระงาน/สัปดาห์</t>
  </si>
  <si>
    <t xml:space="preserve"> - กรรมการ</t>
  </si>
  <si>
    <t>คณะกรรมการประกันคุณภาพการศึกษา
           -ประธาน/เลขานุการ</t>
  </si>
  <si>
    <t xml:space="preserve"> - เลขานุการ</t>
  </si>
  <si>
    <t>(1) คณะกรรมการประเมินคุณภาพพายในระดับหลักสูตร</t>
  </si>
  <si>
    <t xml:space="preserve"> - ผู้สังเกตการณ์</t>
  </si>
  <si>
    <t>ต่อหลักสูตร</t>
  </si>
  <si>
    <t xml:space="preserve"> - ประธาน</t>
  </si>
  <si>
    <t xml:space="preserve"> - เลขานุการ </t>
  </si>
  <si>
    <t>(2) คณะกรรมการประเมินคุณภาพภายในระดับคณะวิชา/วิทยาลัย</t>
  </si>
  <si>
    <t>ต่อคณะวิชา/ วิทยาลัย</t>
  </si>
  <si>
    <t>(3) คณะกรรมการประเมินคุณภาพภายในระดับฝ่าย</t>
  </si>
  <si>
    <t>ต่อกรรมการ 1 ชุด</t>
  </si>
  <si>
    <t xml:space="preserve">(4) คณะกรรมการประเมินคุณภาพภายในระดับสโมสรนักศึกษา                                                                    </t>
  </si>
  <si>
    <t>ต่อสโมสรนักศึกษา</t>
  </si>
  <si>
    <t xml:space="preserve"> - กรรมการสมทบ</t>
  </si>
  <si>
    <t>คณะกรรมการจริยธรรมการวิจัยในคน</t>
  </si>
  <si>
    <t>ประกาศสภามหาวิทยาลัย เรื่อง หลักเกณฑ์การคิดภาระงานและการเทียบภาระการสอนของผู้บริหาร</t>
  </si>
  <si>
    <t>รวมภาระงานอื่น ๆ ที่สอดคล้องกับพันธกิจของมหาวิทยาลัย / คณะวิชา</t>
  </si>
  <si>
    <t>ภาระงานของอาจารย์</t>
  </si>
  <si>
    <t>รวมภาระงานสอนกรณีที่อาจารย์ผู้สอนหลักสูตรไทยไปสอนหลักสูตรนานาชาติ</t>
  </si>
  <si>
    <t>สาขาวิชาการบริหารการศึกษา</t>
  </si>
  <si>
    <t>สาขาวิชาธุรกิจดิจิทัลและเทคโนโลยีทางการเงิน</t>
  </si>
  <si>
    <t>บัณฑิตวิทยาลัย (Graduate School)</t>
  </si>
  <si>
    <t>คณะบริหารธุรกิจ (Faculty of Business Administration)</t>
  </si>
  <si>
    <t>คณะบัญชี และธุรกิจดิจิทัล (Faculty of Accountancy and Digital Business)</t>
  </si>
  <si>
    <t>สำนักนวัตกรรมการสอนและการศึกษาทั่วไป</t>
  </si>
  <si>
    <t>สำนักวิจัยและบริการวิชาการ</t>
  </si>
  <si>
    <t>สำนักนวัตกรรมการสอนและการศึกษาทั่วไป (Teaching Innovation and General Education Affair)</t>
  </si>
  <si>
    <t>1 ภาระงานต่อสัปดาห์ ต่อ 1 โครงงาน</t>
  </si>
  <si>
    <r>
      <t xml:space="preserve">ให้นับเพิ่มอีก  1 ภาระงานต่อสัปดาห์ ต่อรายวิชาที่เพิ่ม </t>
    </r>
    <r>
      <rPr>
        <b/>
        <sz val="10"/>
        <color rgb="FFFF0000"/>
        <rFont val="Tahoma"/>
        <family val="2"/>
      </rPr>
      <t>โดยนับตั้งแต่รายวิชาที่ 3 ขึ้นไป</t>
    </r>
  </si>
  <si>
    <r>
      <t>อาจารย์ผู้สอนหลักสูตรไทย</t>
    </r>
    <r>
      <rPr>
        <b/>
        <sz val="10"/>
        <color rgb="FFFF0000"/>
        <rFont val="Tahoma"/>
        <family val="2"/>
      </rPr>
      <t xml:space="preserve">ไปสอนในรายวิชาของหลักสูตรนานาชาติ </t>
    </r>
  </si>
  <si>
    <r>
      <t>อาจารย์ผู้สอนหลักสูตรไทย</t>
    </r>
    <r>
      <rPr>
        <b/>
        <sz val="10"/>
        <color rgb="FFFF0000"/>
        <rFont val="Tahoma"/>
        <family val="2"/>
      </rPr>
      <t>ในรายวิชาที่มีนักศึกษาต่างชาติลงทะเบียนเรียน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</si>
  <si>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2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</si>
  <si>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</si>
  <si>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2.5</t>
    </r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</si>
  <si>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3.0</t>
    </r>
  </si>
  <si>
    <r>
      <t xml:space="preserve">นำจำนวน ชม.รวมทั้งหมด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>15</t>
    </r>
  </si>
  <si>
    <r>
      <rPr>
        <b/>
        <sz val="10"/>
        <color rgb="FF0000FF"/>
        <rFont val="Tahoma"/>
        <family val="2"/>
      </rPr>
      <t>ให้อยู่ในดุลยพินิจของคณะวิชา</t>
    </r>
    <r>
      <rPr>
        <sz val="10"/>
        <rFont val="Tahoma"/>
        <family val="2"/>
        <charset val="222"/>
      </rPr>
      <t>โดยให้คณะวิชาเป็นผู้กำหนดเกณฑ์ แต่ไม่เกิน 2 ภาระงานต่อสัปดาห์</t>
    </r>
  </si>
  <si>
    <r>
      <rPr>
        <b/>
        <sz val="10"/>
        <color rgb="FF0000FF"/>
        <rFont val="Tahoma"/>
        <family val="2"/>
      </rPr>
      <t>ให้อยู่ในดุลยพินิจของคณะวิชา</t>
    </r>
    <r>
      <rPr>
        <sz val="10"/>
        <rFont val="Tahoma"/>
        <family val="2"/>
        <charset val="222"/>
      </rPr>
      <t>โดยให้คณะวิชาเป็นผู้กำหนดเกณฑ์ แต่ไม่เกิน 6 ภาระงานต่อสัปดาห์</t>
    </r>
  </si>
  <si>
    <r>
      <t xml:space="preserve">นำจำนวน ชั่วโมงที่ไปนิเทศงานจริงรวมทั้งหมดในรายวิชา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1.5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>15</t>
    </r>
  </si>
  <si>
    <r>
      <t xml:space="preserve">งานสอนในระบบคลังหน่วยกิต </t>
    </r>
    <r>
      <rPr>
        <b/>
        <sz val="10"/>
        <color rgb="FFFF0000"/>
        <rFont val="Tahoma"/>
        <family val="2"/>
      </rPr>
      <t>(หมายเหตุ : ให้คิดเฉพาะกรณีการจัดการเรียนการสอนเป็นการเฉพาะ)</t>
    </r>
  </si>
  <si>
    <t>ข้อ 13 การคิดสัดส่วนภาระวิจัยและงานวิชาการอื่น ให้คิดตามเกณฑ์ดังนี้</t>
  </si>
  <si>
    <r>
      <t xml:space="preserve">ข้อ 13 (1) กรณีที่งานวิจัยและ/หรืองานวิชาการ ที่ได้รับความเห็นชอบหรืออนุมัติให้ดำเนินการจากมหาวิทยาลัย </t>
    </r>
    <r>
      <rPr>
        <b/>
        <sz val="10"/>
        <color rgb="FFFF0000"/>
        <rFont val="Tahoma"/>
        <family val="2"/>
      </rPr>
      <t>นับได้ไม่เกินระยะเวลาดำเนินการของโครงการตามที่ได้รับ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</si>
  <si>
    <r>
      <rPr>
        <b/>
        <sz val="10"/>
        <color rgb="FFFF0000"/>
        <rFont val="Tahoma"/>
        <family val="2"/>
      </rPr>
      <t>ระยะเวลาดำเนินการของโครงการตามที่ได้รับ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  <r>
      <rPr>
        <b/>
        <sz val="10"/>
        <color rgb="FFFF0000"/>
        <rFont val="Tahoma"/>
        <family val="2"/>
      </rPr>
      <t xml:space="preserve"> </t>
    </r>
    <r>
      <rPr>
        <sz val="10"/>
        <rFont val="Tahoma"/>
        <family val="2"/>
        <charset val="222"/>
      </rPr>
      <t>โดยคิดตามร้อยละของการมีส่วนร่วมในโครงการ หรือตามสัดส่วนของทุนวิจัยที่อาจารย์มีส่วนร่วม</t>
    </r>
  </si>
  <si>
    <r>
      <t>การผลิตผลงานวิชาการ</t>
    </r>
    <r>
      <rPr>
        <b/>
        <sz val="10"/>
        <color rgb="FFFF0000"/>
        <rFont val="Tahoma"/>
        <family val="2"/>
      </rPr>
      <t>เพื่อใช้ประเมินผลการสอนประกอบการเข้าสู่ตำแหน่งทางวิชาการ</t>
    </r>
    <r>
      <rPr>
        <sz val="10"/>
        <rFont val="Tahoma"/>
        <family val="2"/>
        <charset val="222"/>
      </rPr>
      <t xml:space="preserve"> เช่น เอกสารประกอบการสอน การผลิตนวัตกรรม หรือ สื่อการสอน หรือชุดการสอน หรือสิ่งประดิษฐ์ หรือผลงานอื่นในลักษณะเดียวกัน</t>
    </r>
  </si>
  <si>
    <r>
      <t xml:space="preserve"> ใน</t>
    </r>
    <r>
      <rPr>
        <b/>
        <sz val="10"/>
        <color rgb="FFFF0000"/>
        <rFont val="Tahoma"/>
        <family val="2"/>
      </rPr>
      <t>ระดับชาติ</t>
    </r>
    <r>
      <rPr>
        <sz val="10"/>
        <rFont val="Tahoma"/>
        <family val="2"/>
        <charset val="222"/>
      </rPr>
      <t xml:space="preserve"> ตามประกาศของ กกอ.ฯ</t>
    </r>
  </si>
  <si>
    <r>
      <t xml:space="preserve"> ใน</t>
    </r>
    <r>
      <rPr>
        <b/>
        <sz val="10"/>
        <color rgb="FFFF0000"/>
        <rFont val="Tahoma"/>
        <family val="2"/>
      </rPr>
      <t>ระดับนานาชาติ</t>
    </r>
    <r>
      <rPr>
        <sz val="10"/>
        <rFont val="Tahoma"/>
        <family val="2"/>
        <charset val="222"/>
      </rPr>
      <t xml:space="preserve"> ตามประกาศของ กกอ.ฯ</t>
    </r>
  </si>
  <si>
    <r>
      <t>ผลงานวิชาการประเภทอื่น ๆ</t>
    </r>
    <r>
      <rPr>
        <b/>
        <sz val="10"/>
        <color rgb="FFFF0000"/>
        <rFont val="Tahoma"/>
        <family val="2"/>
      </rPr>
      <t xml:space="preserve"> ตามประกาศของ กกอ. เรื่องหลักเกณฑ์และวิธีการพิจารณาแต่งตั้งบุคคลให้ดำรงตำแหน่งฯ</t>
    </r>
    <r>
      <rPr>
        <sz val="10"/>
        <rFont val="Tahoma"/>
        <family val="2"/>
        <charset val="222"/>
      </rPr>
      <t xml:space="preserve"> อาทิ หนังสือ ตำรา งานแปล ซอฟต์แวร์ ผลงานสร้างสรรค์ด้านวิทยาศาสตร์ ผลงานสร้างสรรค์ด้านสุนทรียะ ผลงานวิชาการเพื่อพัฒนานโยบายสาธารณะ ผลงานวิชาการรับใช้สังคม ฯลฯ</t>
    </r>
  </si>
  <si>
    <t>เป็นผู้ทรงคุณวุฒิ พิจารณาผลงานวิจัย/ งานสร้างสรรค์/ บทความวิชาการ</t>
  </si>
  <si>
    <r>
      <t>หมวดที่ 4 ข้อ 12 (12) กรณีที่งานบริการวิชาการซึ่งได้รับความคิดเห็นชอบหรืออนุมัติให้ดำเนินการจากมหาวิทยาลัย</t>
    </r>
    <r>
      <rPr>
        <b/>
        <sz val="10"/>
        <color rgb="FFFF0000"/>
        <rFont val="Tahoma"/>
        <family val="2"/>
      </rPr>
      <t>โดยมีแหล่งทุนจากภายนอก</t>
    </r>
    <r>
      <rPr>
        <sz val="10"/>
        <rFont val="Tahoma"/>
        <family val="2"/>
        <charset val="222"/>
      </rPr>
      <t xml:space="preserve"> ให้นับภาระงานได้ไม่เกิน</t>
    </r>
  </si>
  <si>
    <r>
      <rPr>
        <b/>
        <sz val="10"/>
        <color rgb="FFFF0000"/>
        <rFont val="Tahoma"/>
        <family val="2"/>
      </rPr>
      <t>ระยะเวลาดำเนินการของโครงการฯ ตามที่ได้รับ</t>
    </r>
    <r>
      <rPr>
        <b/>
        <u/>
        <sz val="10"/>
        <color rgb="FFFF0000"/>
        <rFont val="Tahoma"/>
        <family val="2"/>
      </rPr>
      <t>อนุมัติครั้งแรก</t>
    </r>
    <r>
      <rPr>
        <sz val="10"/>
        <rFont val="Tahoma"/>
        <family val="2"/>
        <charset val="222"/>
      </rPr>
      <t xml:space="preserve"> โดยคิดตามสัดส่วนของงบประมาณที่ได้รับและจำนวนผู้รับผิดชอบโครงการ</t>
    </r>
  </si>
  <si>
    <t>วิทยานิพนธ์</t>
  </si>
  <si>
    <t>Information technology</t>
  </si>
  <si>
    <t>สาขาวิชากัญชาศาสตร์และพืชสมุนไพร</t>
  </si>
  <si>
    <t>สาขาวิชาภาษาจีนธุรกิจ</t>
  </si>
  <si>
    <t>สาขาวิชานวัตกรรมธุรกิจอาหาร</t>
  </si>
  <si>
    <t>คณะ</t>
  </si>
  <si>
    <t>วิทยาลัยนานาชาติสำหรับสหวิทยาการ (International College for Interdisciplinary Studies)</t>
  </si>
  <si>
    <t>สำนักการศึกษาทั่วไปและวิทยาศาสตร์พื้นฐาน (General Education Office and Basic Science)</t>
  </si>
  <si>
    <t>บัณฑิตศึกษา วิทยาลัยนานาชาติสำหรับสหวิทยาการ</t>
  </si>
  <si>
    <t>ระดับ</t>
  </si>
  <si>
    <t>ปริญญาตรี</t>
  </si>
  <si>
    <t>ปริญญาโท</t>
  </si>
  <si>
    <t>ปริญญาเอก</t>
  </si>
  <si>
    <t>x(x-x-x)</t>
  </si>
  <si>
    <t>3(3-0-6)</t>
  </si>
  <si>
    <t>ป.ตรี</t>
  </si>
  <si>
    <t>ป.โท</t>
  </si>
  <si>
    <t>ป.เอก</t>
  </si>
  <si>
    <t>1(1-0-2)</t>
  </si>
  <si>
    <t>2(2-0-4)</t>
  </si>
  <si>
    <t>4(4-0-8)</t>
  </si>
  <si>
    <r>
      <t xml:space="preserve">ระยะทาง </t>
    </r>
    <r>
      <rPr>
        <sz val="9"/>
        <color theme="1"/>
        <rFont val="Calibri"/>
        <family val="2"/>
      </rPr>
      <t>&lt;</t>
    </r>
    <r>
      <rPr>
        <sz val="9"/>
        <color theme="1"/>
        <rFont val="Tahoma"/>
        <family val="2"/>
      </rPr>
      <t xml:space="preserve"> 100 กม.</t>
    </r>
  </si>
  <si>
    <r>
      <t xml:space="preserve">ระยะทาง </t>
    </r>
    <r>
      <rPr>
        <sz val="9"/>
        <color theme="1"/>
        <rFont val="Calibri"/>
        <family val="2"/>
      </rPr>
      <t>≥</t>
    </r>
    <r>
      <rPr>
        <sz val="9"/>
        <color theme="1"/>
        <rFont val="Tahoma"/>
        <family val="2"/>
      </rPr>
      <t xml:space="preserve"> 100 กม.</t>
    </r>
  </si>
  <si>
    <t>ดุษฎีนิพนธ์</t>
  </si>
  <si>
    <t>ค้นคว้าอิสระ</t>
  </si>
  <si>
    <t>โครงร่าง</t>
  </si>
  <si>
    <t>สอบปกป้อง</t>
  </si>
  <si>
    <t>อันดับแรก</t>
  </si>
  <si>
    <t>อื่น</t>
  </si>
  <si>
    <t>อื่นๆ</t>
  </si>
  <si>
    <t>เป็นกรรมการสอบโครงร่างดุษฎีนิพนธ์ภายนอก</t>
  </si>
  <si>
    <t>เป็นกรรมการสอบดุษฎีนิพนธ์ภายนอก</t>
  </si>
  <si>
    <t>(1) ให้อยู่ในดุลยพินิจของคณะวิชา โดยคิดเป็นภาระงาน - ผู้ดำเนินโครงการไม่เกิน 0.5 ภาระงาน/สัปดาห์/ครั้ง - ผู้เข้าร่วมโครงการไม่เกิน 0.2 ภาระงาน/สัปดาห์/ครั้ง</t>
  </si>
  <si>
    <t>การคิดสัดส่วนภาระงานตามหลักเกณฑ์ว่าด้วย การกำหนดภาระงานของอาจารย์มหาวิทยาลัยพายัพ พ.ศ. 2566</t>
  </si>
  <si>
    <t xml:space="preserve">ให้บวกภาระงานเพิ่มอีก 
0.02 สำหรับ 1 หน่วยกิต หรือ
0.04 สำหรับ 2 หน่วยกิต หรือ
0.06 สำหรับ 3 หน่วยกิต หรือ
0.08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ให้แบ่งส่วนภาระงานที่เพิ่มขึ้นตามจำนวนชั่วโมงที่สอนจริง)* </t>
  </si>
  <si>
    <t xml:space="preserve">
ให้บวกภาระงานเพิ่มอีก 
0.02 สำหรับ 1 หน่วยกิต หรือ
0.04 สำหรับ 2 หน่วยกิต หรือ
0.06 สำหรับ 3 หน่วยกิต หรือ
0.08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</si>
  <si>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ทั้งนี้อาจารย์ 1 ท่านจะสามารถดูแลโครงงานได้จำนวน 15 โครงงานโดยไม่เกิน 20 โครงงาน</t>
  </si>
  <si>
    <t>0.2 ภาระงานต่อสัปดาห์ ต่อ 1 แหล่งฝึก</t>
  </si>
  <si>
    <t>0.4 ภาระงานต่อสัปดาห์ ต่อ 1 แหล่งฝึก</t>
  </si>
  <si>
    <t>ให้บวกภาระงานเพิ่มอีก 
0.03 สำหรับ 1 หน่วยกิต หรือ
0.05 สำหรับ 2 หน่วยกิต หรือ
0.08 สำหรับ 3 หน่วยกิต หรือ
0.11 สำหรับ 4 หน่วยกิต 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</si>
  <si>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ให้บวกภาระงานเพิ่มอีก 
0.03 สำหรับ 1 หน่วยกิต หรือ
0.05 สำหรับ 2 หน่วยกิต หรือ
0.08 สำหรับ 3 หน่วยกิต หรือ
0.11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</si>
  <si>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งานสอนแบบบรรยาย (ระดับปริญญาโท)</t>
  </si>
  <si>
    <t>ให้บวกภาระงานเพิ่มอีก 
0.03 สำหรับ 1 หน่วยกิต หรือ
0.07 สำหรับ 2 หน่วยกิต หรือ
0.10 สำหรับ 3 หน่วยกิต หรือ
0.13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</si>
  <si>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งานสอนแบบบรรยาย (ระดับปริญญาเอก)</t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</si>
  <si>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4.0</t>
    </r>
  </si>
  <si>
    <t>ให้บวกภาระงานเพิ่มอีก 
0.04 สำหรับ 1 หน่วยกิต หรือ
0.09 สำหรับ 2 หน่วยกิต หรือ
0.13 สำหรับ 3 หน่วยกิต หรือ
0.17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</si>
  <si>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>การเป็นอาจารย์ที่ปรึกษาดุษฎีนิพนธ์</t>
  </si>
  <si>
    <t>3.0 ภาระงาน ต่อสัปดาห์ ต่อนักศึกษา 1 คน</t>
  </si>
  <si>
    <t>1.0 ภาระงาน ต่อสัปดาห์ ต่อนักศึกษา 1 คน</t>
  </si>
  <si>
    <t>การเป็นกรรมการสอบโครงร่างดุษฎีนิพนธ์</t>
  </si>
  <si>
    <t>การเป็นกรรมการสอบดุษฎีนิพนธ์</t>
  </si>
  <si>
    <t>ผู้ประพันธ์อันดับแรก/ผู้ประพันธ์บรรณกิจ</t>
  </si>
  <si>
    <t>4 ภาระงาน/ สัปดาห์/ 1 ผลงาน</t>
  </si>
  <si>
    <t xml:space="preserve"> มีการจดอนุสิทธิบัตร</t>
  </si>
  <si>
    <t xml:space="preserve"> - กรรมการกลาง</t>
  </si>
  <si>
    <t>3 ภาระงาน/สัปดาห์</t>
  </si>
  <si>
    <t>2 ภาระงาน/โครงการ</t>
  </si>
  <si>
    <t>2 ภาระงาน/สัปดาห์</t>
  </si>
  <si>
    <t>1 ภาระงาน/โครงการ</t>
  </si>
  <si>
    <t>รองคณบดี ผู้ช่วยคณบดี ผู้ช่วยผู้อำนวยการ หัวหน้าภาควิชา หัวหน้าสาขาวิชา หัวหน้ากลุ่มวิชา หัวหน้าสำนักงาน หัวหน้างาน หัวหน้าศูนย์ ผู้ช่วยหัวหน้าสาขา</t>
  </si>
  <si>
    <t>Lecture</t>
  </si>
  <si>
    <t>Lab / Practicum</t>
  </si>
  <si>
    <t>from 1 to 30</t>
  </si>
  <si>
    <t>more than 30</t>
  </si>
  <si>
    <t>Calculated workload (teaching loads) regarding Payap Univrsity's regulation 2023</t>
  </si>
  <si>
    <t>Undergraduate Programs</t>
  </si>
  <si>
    <t>The announcement for workload calculation 2021</t>
  </si>
  <si>
    <t>Item 9 (1) Regular Teaching Duties</t>
  </si>
  <si>
    <t>No.</t>
  </si>
  <si>
    <t>Type of Teaching</t>
  </si>
  <si>
    <t>Number of Students</t>
  </si>
  <si>
    <t>Teaching Load Calculation</t>
  </si>
  <si>
    <t>(per week)</t>
  </si>
  <si>
    <r>
      <t xml:space="preserve">total contact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1.5</t>
    </r>
  </si>
  <si>
    <t>Item 9 (2) Special Teaching Duties</t>
  </si>
  <si>
    <t>Short Course</t>
  </si>
  <si>
    <t xml:space="preserve">         Lecture</t>
  </si>
  <si>
    <t xml:space="preserve">         Practucum / Lab</t>
  </si>
  <si>
    <t xml:space="preserve">          Practicum / Lab</t>
  </si>
  <si>
    <t>Add the workload as follows:
0.02 for 1 credit hour
0.04 for 2 credit hours
0.06 for 3 credit hours
0.08 for 4 credit hours
per additional student*
(If there is more than one instructor, distribute the additional workload based on the actual teaching hours)*</t>
  </si>
  <si>
    <t>Type of teaching</t>
  </si>
  <si>
    <t>Cooperative Education</t>
  </si>
  <si>
    <t xml:space="preserve">         Coordinator for Cooperative Education</t>
  </si>
  <si>
    <t>Under consideration of the faculty but not more than 2 teaching loads per week.</t>
  </si>
  <si>
    <t xml:space="preserve">         Advisor for Cooperative Education</t>
  </si>
  <si>
    <t>Under consideration of the faculty but not more than 6 teaching loads per week.</t>
  </si>
  <si>
    <t xml:space="preserve">         Main advisor</t>
  </si>
  <si>
    <t>1 teaching loads per week per 1 project</t>
  </si>
  <si>
    <t xml:space="preserve">         Co-advisor</t>
  </si>
  <si>
    <t>0.5 teaching loads per week per 1 project</t>
  </si>
  <si>
    <t>Moreover, one instructor can supervise a maximum of 15 projects, not exceeding 20 projects.</t>
  </si>
  <si>
    <t xml:space="preserve">  2.   Calculated by the distance.</t>
  </si>
  <si>
    <t xml:space="preserve">            Less than 100 km.</t>
  </si>
  <si>
    <t>0.2 teaching loads per week per 1 project</t>
  </si>
  <si>
    <t xml:space="preserve">            100 km. Or more</t>
  </si>
  <si>
    <t>0.4 teaching loads per week per 1 project</t>
  </si>
  <si>
    <t>Details</t>
  </si>
  <si>
    <t>One (1) extra teaching load for each course more than three.</t>
  </si>
  <si>
    <t>One (1) extra teaching load</t>
  </si>
  <si>
    <t>Two (2) extra teaching loads</t>
  </si>
  <si>
    <t>Three (3) extra teaching loads</t>
  </si>
  <si>
    <t>Teachning Duties at International College by non-International College lecturer</t>
  </si>
  <si>
    <t xml:space="preserve">        Lecture</t>
  </si>
  <si>
    <t>from 1-15</t>
  </si>
  <si>
    <t>more than 16</t>
  </si>
  <si>
    <r>
      <t xml:space="preserve">Total contact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2.5</t>
    </r>
  </si>
  <si>
    <t>Add the workload as follows:
0.03 for 1 credit hour
0.05 for 2 credit hours
0.08 for 3 credit hours
0.11 for 4 credit hours
per additional student*
(If there is more than one instructor, distribute the additional workload based on the actual teaching hours)*</t>
  </si>
  <si>
    <t>Teachning thai class that has foreign student.</t>
  </si>
  <si>
    <t xml:space="preserve">        สอนแบบบรรยาย (บัณฑิตศึกษา)</t>
  </si>
  <si>
    <r>
      <t xml:space="preserve">จำนวน ชม.ที่สอนทั้งหมดในรายวิชา </t>
    </r>
    <r>
      <rPr>
        <sz val="10"/>
        <rFont val="Symbol"/>
        <family val="1"/>
        <charset val="2"/>
      </rPr>
      <t>¸</t>
    </r>
    <r>
      <rPr>
        <sz val="10"/>
        <rFont val="Tahoma"/>
        <family val="2"/>
      </rPr>
      <t xml:space="preserve"> 15 </t>
    </r>
    <r>
      <rPr>
        <sz val="10"/>
        <rFont val="Symbol"/>
        <family val="1"/>
        <charset val="2"/>
      </rPr>
      <t>´</t>
    </r>
    <r>
      <rPr>
        <sz val="10"/>
        <rFont val="Tahoma"/>
        <family val="2"/>
      </rPr>
      <t xml:space="preserve"> 3.5</t>
    </r>
  </si>
  <si>
    <t>ให้บวกภาระงานเพิ่มอีก 
0.04 สำหรับ 1 หน่วยกิต หรือ
0.08 สำหรับ 2 หน่วยกิต หรือ
0.12 สำหรับ 3 หน่วยกิต หรือ
0.16 สำหรับ 4 หน่วยกิต 
ต่อ นักศึกษา 1 คนที่เพิ่มขึ้น* 
(หากมีผู้สอนมากกว่า 1 คน ให้แบ่งส่วนภาระงานที่เพิ่มขึ้นตามจำนวนชั่วโมงที่สอนจริง)</t>
  </si>
  <si>
    <t xml:space="preserve">        Lecture (Graduate Programs)</t>
  </si>
  <si>
    <t xml:space="preserve">        Lecture (Undergraduate)</t>
  </si>
  <si>
    <r>
      <t xml:space="preserve">total contact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2.5</t>
    </r>
  </si>
  <si>
    <r>
      <t xml:space="preserve">total contact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3.5</t>
    </r>
  </si>
  <si>
    <t>Add the workload as follows:
0.04 for 1 credit hour
0.08 for 2 credit hours
0.12 for 3 credit hours
0.16 for 4 credit hours
per additional student*
(If there is more than one instructor, distribute the additional workload based on the actual teaching hours)*</t>
  </si>
  <si>
    <t>Graduate Programs</t>
  </si>
  <si>
    <t>Item 10 (1) Regular Teaching Duties</t>
  </si>
  <si>
    <t>Teachning Load Calculation</t>
  </si>
  <si>
    <t>Practicum / Lab</t>
  </si>
  <si>
    <t>Lecture (Master Degree)</t>
  </si>
  <si>
    <t>Lecture (Doctoral Degree)</t>
  </si>
  <si>
    <t>Add the workload as follows:
0.03 for 1 credit hour
0.07 for 2 credit hours
0.10 for 3 credit hours
0.13 for 4 credit hours
per additional student*
(If there is more than one instructor, distribute the additional workload based on the actual teaching hours)*</t>
  </si>
  <si>
    <t>Add the workload as follows:
0.04 for 1 credit hour
0.09 for 2 credit hours
0.13 for 3 credit hours
0.17 for 4 credit hours
per additional student*
(If there is more than one instructor, distribute the additional workload based on the actual teaching hours)*</t>
  </si>
  <si>
    <t>Item 10 (2) Specital Teaching Duties</t>
  </si>
  <si>
    <t>Teaching Load Calculation/equivalent</t>
  </si>
  <si>
    <t>Main advisor for Independetn Study</t>
  </si>
  <si>
    <t>1 teaching load per week per 1 project</t>
  </si>
  <si>
    <t>Co-advisor for Independent Study</t>
  </si>
  <si>
    <t>0.5 teaching load per week per 1 project</t>
  </si>
  <si>
    <t>For Thesis</t>
  </si>
  <si>
    <t>Main advisor for Thesis</t>
  </si>
  <si>
    <t>1.5 teaching load per week per 1 student</t>
  </si>
  <si>
    <t>Co-advisor for Thesis</t>
  </si>
  <si>
    <t>0.5 teaching load per week per 1 student</t>
  </si>
  <si>
    <t>3.0 teaching load per week per 1 student</t>
  </si>
  <si>
    <t>1.0 teaching load per week per 1 student</t>
  </si>
  <si>
    <t>per 1 student</t>
  </si>
  <si>
    <t>For Dissertation</t>
  </si>
  <si>
    <t>Main advisor for Dissertation</t>
  </si>
  <si>
    <t>Co-advisor for Dissertation</t>
  </si>
  <si>
    <t>Percentage of project participation</t>
  </si>
  <si>
    <t>Teaching Load equivalent</t>
  </si>
  <si>
    <t>Fund received</t>
  </si>
  <si>
    <t>More than1,000,000 baht</t>
  </si>
  <si>
    <t>500,000 - 999,999 baht</t>
  </si>
  <si>
    <t>100,000 - 499,999 baht</t>
  </si>
  <si>
    <t>80,000 - 99,999 baht</t>
  </si>
  <si>
    <t>60,000 - 79,999 baht</t>
  </si>
  <si>
    <t>40,000 - 59,999 baht</t>
  </si>
  <si>
    <t>20,000 - 39,999 baht</t>
  </si>
  <si>
    <t>lower than 19,999 baht</t>
  </si>
  <si>
    <t>Section 3 Research and other academic output. Item 13 (3)- 13 (7)</t>
  </si>
  <si>
    <t>Type of academic output</t>
  </si>
  <si>
    <t>Number of semesters that can be considered</t>
  </si>
  <si>
    <t>3 teaching loads per week per 1 project</t>
  </si>
  <si>
    <t>Other academic output according to the Higher Education Committee. For example, book, textbook, translation, software, creative, social engagement.</t>
  </si>
  <si>
    <t>Not more than
 4 semesters</t>
  </si>
  <si>
    <t xml:space="preserve">Supplementary Course Material for academic rank application. </t>
  </si>
  <si>
    <t>1 semester</t>
  </si>
  <si>
    <t>2 teaching loads per week per project.</t>
  </si>
  <si>
    <t>Published academic article / research</t>
  </si>
  <si>
    <t>Publication in Thailand according to the higher education committee</t>
  </si>
  <si>
    <t>International Publication according to the higher education committee</t>
  </si>
  <si>
    <t>First Author/Corresponding</t>
  </si>
  <si>
    <t>Other</t>
  </si>
  <si>
    <t>3 teaching loads per week per project.</t>
  </si>
  <si>
    <t>5 teaching loads per week per project.</t>
  </si>
  <si>
    <t>4 teaching loads per week per project.</t>
  </si>
  <si>
    <t>Award winning research or academic output</t>
  </si>
  <si>
    <t>Patented</t>
  </si>
  <si>
    <t>National award</t>
  </si>
  <si>
    <t>International award</t>
  </si>
  <si>
    <t>Calculated Teaching Load per week</t>
  </si>
  <si>
    <t>Head/Main person/secretary of academic service</t>
  </si>
  <si>
    <t>per one project</t>
  </si>
  <si>
    <t>Cooperator/Committee of the academic service</t>
  </si>
  <si>
    <t>Special lecturer in the university</t>
  </si>
  <si>
    <t>Special lecture outsde the university</t>
  </si>
  <si>
    <t>Other academic service</t>
  </si>
  <si>
    <t>Academic Service according to professional council</t>
  </si>
  <si>
    <t>Considered by the period of holding the status</t>
  </si>
  <si>
    <t>Per one assignment</t>
  </si>
  <si>
    <t>Per one hour lecture</t>
  </si>
  <si>
    <t>fund received</t>
  </si>
  <si>
    <t>1,000,000 and above</t>
  </si>
  <si>
    <t>ไม่เกิน - 19,999 baht</t>
  </si>
  <si>
    <t>Teaching Loads equivalent</t>
  </si>
  <si>
    <t>Head/Main person/Secretary of a culture preservation project</t>
  </si>
  <si>
    <t>Cooperator in the culture preservation project</t>
  </si>
  <si>
    <t>Participate in culture preservation program</t>
  </si>
  <si>
    <t>Head/Main person/Secretary of student development project (including extracurriculum)</t>
  </si>
  <si>
    <t>Cooperator of student development project (including extracurriculum)</t>
  </si>
  <si>
    <t>Participate in student development project</t>
  </si>
  <si>
    <t>Being an advisor</t>
  </si>
  <si>
    <t>per semester</t>
  </si>
  <si>
    <t>Being an advisor for student union of the university/faculty</t>
  </si>
  <si>
    <t>Being an advisor for a project</t>
  </si>
  <si>
    <t xml:space="preserve">        สอนแบบบรรยาย (ปริญญาตรี)</t>
  </si>
  <si>
    <t>อาจารย์ที่ปรึกษานักศึกษาปริญญาตรี ปริญญาโทและปริญญาเอก</t>
  </si>
  <si>
    <t>Type of Work</t>
  </si>
  <si>
    <t>Teaching Load Equivalent</t>
  </si>
  <si>
    <t xml:space="preserve"> -Coworker/Committee/Sub-committee</t>
  </si>
  <si>
    <t>Curriculum Management Committee</t>
  </si>
  <si>
    <t>Responsible person for the curriculum but not being the curriculum management committee</t>
  </si>
  <si>
    <t>A committee appointed by faculty</t>
  </si>
  <si>
    <t>Quality Assurance Committee
           - Chairperson/secretary</t>
  </si>
  <si>
    <t xml:space="preserve"> - Committee</t>
  </si>
  <si>
    <t xml:space="preserve">For internal quality assurance auditor                </t>
  </si>
  <si>
    <t>(1) Quality Assurance Committee for Curriculum level</t>
  </si>
  <si>
    <t>Per curriculum</t>
  </si>
  <si>
    <t xml:space="preserve"> - Chairperson</t>
  </si>
  <si>
    <t xml:space="preserve"> - Secretary</t>
  </si>
  <si>
    <t>(2) Quality Assurance Committee for faculty level</t>
  </si>
  <si>
    <t>per faculty/college</t>
  </si>
  <si>
    <t>(3) Quality Assurance Committee for division level</t>
  </si>
  <si>
    <t>for each committee</t>
  </si>
  <si>
    <t>(3) Quality Assurance Committee for student union</t>
  </si>
  <si>
    <t>for each union</t>
  </si>
  <si>
    <t>Research Ethic Committee</t>
  </si>
  <si>
    <t xml:space="preserve"> -  Committee</t>
  </si>
  <si>
    <t>2 per week per project</t>
  </si>
  <si>
    <t>1 per week per project</t>
  </si>
  <si>
    <t>Other non-administrative position assigned by Payap University</t>
  </si>
  <si>
    <t>Not more than 18, and was approved by the President</t>
  </si>
  <si>
    <t>Announcement : Guidline for the conversion from administrative position to teaching loads</t>
  </si>
  <si>
    <t>Position</t>
  </si>
  <si>
    <t>Workloads per week</t>
  </si>
  <si>
    <t>Teaching Proportion</t>
  </si>
  <si>
    <t>Teaching Criteria (credits)</t>
  </si>
  <si>
    <t>President</t>
  </si>
  <si>
    <t>Vice-President</t>
  </si>
  <si>
    <t>Assistant to the president / Dean</t>
  </si>
  <si>
    <t>Assistant to the vice-president</t>
  </si>
  <si>
    <t>Director</t>
  </si>
  <si>
    <t>vice dean, asst. dean, asst. director, head department, head section, manager, asst. head department</t>
  </si>
  <si>
    <t>Program coordinator/ other non-administrative position</t>
  </si>
  <si>
    <t>Instructor Work Report</t>
  </si>
  <si>
    <t>Payap University</t>
  </si>
  <si>
    <t>First (1st) semester</t>
  </si>
  <si>
    <t>Second (2nd) semester</t>
  </si>
  <si>
    <t>Academic year</t>
  </si>
  <si>
    <t>Instructor's ID code</t>
  </si>
  <si>
    <t>Academic Rank</t>
  </si>
  <si>
    <t>Name - Familyname</t>
  </si>
  <si>
    <t>Administrative job title (if any)</t>
  </si>
  <si>
    <t>Department</t>
  </si>
  <si>
    <t>Faculty/College</t>
  </si>
  <si>
    <t>Unit (if assigned)</t>
  </si>
  <si>
    <t>Linguistics</t>
  </si>
  <si>
    <t>TESOL</t>
  </si>
  <si>
    <t>Peacebuilding</t>
  </si>
  <si>
    <t>1. Regular Teaching Duties</t>
  </si>
  <si>
    <t>1.1 Normal Teaching (lecture/practicum or lab) (refer to the announcement section 2 item 9.1 (1), 9.1 (2) and 11 (1), 11 (3))</t>
  </si>
  <si>
    <t>Level</t>
  </si>
  <si>
    <t>Course Code</t>
  </si>
  <si>
    <t>Course Name</t>
  </si>
  <si>
    <t>Section</t>
  </si>
  <si>
    <t>Credit hours</t>
  </si>
  <si>
    <t>Co-teaching</t>
  </si>
  <si>
    <t>Yes/No</t>
  </si>
  <si>
    <t>Undergraduate</t>
  </si>
  <si>
    <t>Master</t>
  </si>
  <si>
    <t>Doctoral</t>
  </si>
  <si>
    <t>No</t>
  </si>
  <si>
    <t>Yes</t>
  </si>
  <si>
    <t>Teaching 3 different courses (1)</t>
  </si>
  <si>
    <t>Teaching 4 different courses (1)</t>
  </si>
  <si>
    <t>Teaching 5 different courses (1)</t>
  </si>
  <si>
    <t>( 1 extra teaching load)</t>
  </si>
  <si>
    <t>( 2 extra teaching load)</t>
  </si>
  <si>
    <t>( 3 extra teaching load)</t>
  </si>
  <si>
    <t>Teaching Hours 
(semester)</t>
  </si>
  <si>
    <t>Practice/
Lab</t>
  </si>
  <si>
    <t xml:space="preserve"> Teaching Loads 
(per week)</t>
  </si>
  <si>
    <t xml:space="preserve"> Teaching Loads (per week)</t>
  </si>
  <si>
    <t>Total of Teaching Loads</t>
  </si>
  <si>
    <t>1.2 Special Teaching Duties (credit bank and shourt course (refer to the announcement section 2 item 9.2 (1), 9.2 (2))</t>
  </si>
  <si>
    <t>Special Teaching Duties</t>
  </si>
  <si>
    <t>Course Details / Program</t>
  </si>
  <si>
    <t>Having Int'l student in class (Only applicable to a Thai program)</t>
  </si>
  <si>
    <t>Teaching Hours (semester)</t>
  </si>
  <si>
    <t>Lab</t>
  </si>
  <si>
    <t>Credit Bank</t>
  </si>
  <si>
    <t>Teaching Loads (per week)</t>
  </si>
  <si>
    <t xml:space="preserve">Total of teaching loads </t>
  </si>
  <si>
    <r>
      <t xml:space="preserve">1.3 Special Teaching Duties (refer to the announcement section 2 item 9.2 (3), 9.2 (4), 9.2 (5) </t>
    </r>
    <r>
      <rPr>
        <b/>
        <sz val="10"/>
        <color theme="1"/>
        <rFont val="Tahoma"/>
        <family val="2"/>
        <scheme val="minor"/>
      </rPr>
      <t>(Undergraduate)</t>
    </r>
  </si>
  <si>
    <t>Credit Hours</t>
  </si>
  <si>
    <t>Main Advisor or Co-advisor (Please specify)</t>
  </si>
  <si>
    <t>The number of theses/dissertations/independent research projects/other similar coursework.</t>
  </si>
  <si>
    <t>Coordinator for Cooperative Education (1)</t>
  </si>
  <si>
    <t>Advisor for Cooperative Education (2)</t>
  </si>
  <si>
    <t>Cooperative education</t>
  </si>
  <si>
    <t>Instructor for Practicum/Field Trip/Equivalent Course</t>
  </si>
  <si>
    <t>super vision's hours</t>
  </si>
  <si>
    <t>calcution of workload</t>
  </si>
  <si>
    <t>Distance</t>
  </si>
  <si>
    <t>The number of training sites within a distance of &lt; 100 kilometers</t>
  </si>
  <si>
    <r>
      <t xml:space="preserve">The number of training sites within a distance of </t>
    </r>
    <r>
      <rPr>
        <sz val="7"/>
        <color theme="1"/>
        <rFont val="Calibri"/>
        <family val="2"/>
      </rPr>
      <t>≥</t>
    </r>
    <r>
      <rPr>
        <sz val="7"/>
        <color theme="1"/>
        <rFont val="Tahoma"/>
        <family val="2"/>
        <scheme val="major"/>
      </rPr>
      <t xml:space="preserve"> 100 kilometers</t>
    </r>
  </si>
  <si>
    <t>workload appointed by faculty (3)</t>
  </si>
  <si>
    <t>Total calculated teaching loads (per week) (Undergraduate)</t>
  </si>
  <si>
    <r>
      <t xml:space="preserve">10.2 Special Teaching Duties  </t>
    </r>
    <r>
      <rPr>
        <b/>
        <sz val="10"/>
        <color theme="1"/>
        <rFont val="Tahoma"/>
        <family val="2"/>
        <scheme val="minor"/>
      </rPr>
      <t>(Graduate Study)</t>
    </r>
  </si>
  <si>
    <t>Number of Project/IS/Thesis/Dissertation</t>
  </si>
  <si>
    <t>Advisor</t>
  </si>
  <si>
    <t>Main/Co</t>
  </si>
  <si>
    <t>IS/Thesis/Dissertation</t>
  </si>
  <si>
    <t>Exam Committee</t>
  </si>
  <si>
    <t>Total calculated teaching loads (per week) (Graduate Study)</t>
  </si>
  <si>
    <t>1.4 Teachning Duties at International College by non-International College lecturer (Lecture) (refer to the announcement section 2 item 11 (2))</t>
  </si>
  <si>
    <t>Course Details</t>
  </si>
  <si>
    <t>Credit</t>
  </si>
  <si>
    <t>2. Research, Creative or other academic output (refer to the announcement section 3)</t>
  </si>
  <si>
    <t xml:space="preserve">Name of Research/Creatives </t>
  </si>
  <si>
    <t>Date of Approval (Date/Month/Year)</t>
  </si>
  <si>
    <t>Order number of research contract</t>
  </si>
  <si>
    <t>For External Fundings</t>
  </si>
  <si>
    <r>
      <t>Classroom Research (</t>
    </r>
    <r>
      <rPr>
        <sz val="9"/>
        <color theme="1"/>
        <rFont val="Wingdings"/>
        <charset val="2"/>
      </rPr>
      <t>ü</t>
    </r>
    <r>
      <rPr>
        <sz val="9"/>
        <color theme="1"/>
        <rFont val="Tahoma"/>
        <family val="2"/>
        <scheme val="minor"/>
      </rPr>
      <t>)</t>
    </r>
  </si>
  <si>
    <t>Work Loads (per week)</t>
  </si>
  <si>
    <r>
      <t>Amount of funds allocated to an individual researcher (</t>
    </r>
    <r>
      <rPr>
        <sz val="10"/>
        <color theme="1"/>
        <rFont val="Wingdings"/>
        <charset val="2"/>
      </rPr>
      <t>ü</t>
    </r>
    <r>
      <rPr>
        <sz val="10"/>
        <color theme="1"/>
        <rFont val="Tahoma"/>
        <family val="2"/>
        <charset val="222"/>
        <scheme val="minor"/>
      </rPr>
      <t>)</t>
    </r>
  </si>
  <si>
    <t>1,000,000 or more</t>
  </si>
  <si>
    <t>Less than 20,000</t>
  </si>
  <si>
    <r>
      <t>Percentage of participation  (</t>
    </r>
    <r>
      <rPr>
        <sz val="10"/>
        <color theme="1"/>
        <rFont val="Wingdings"/>
        <charset val="2"/>
      </rPr>
      <t>ü</t>
    </r>
    <r>
      <rPr>
        <sz val="10"/>
        <color theme="1"/>
        <rFont val="Tahoma"/>
        <family val="2"/>
        <scheme val="minor"/>
      </rPr>
      <t>)</t>
    </r>
  </si>
  <si>
    <t>Total  work loads for research / creatives</t>
  </si>
  <si>
    <t>2.2 Other academic output (refer to section 3 item 13 (4), 13 (5), 13 (6) and 13(7))</t>
  </si>
  <si>
    <t>Names and Details of Other Academic Outputs</t>
  </si>
  <si>
    <t>Other academic output according to announcements of OHEC (1)</t>
  </si>
  <si>
    <t>Supplementary Course Materials for an application of  academic rank</t>
  </si>
  <si>
    <t>Publication of a research/academic article in accordance with the announcement of OHEC</t>
  </si>
  <si>
    <t>Awarded research or academic output</t>
  </si>
  <si>
    <t>book</t>
  </si>
  <si>
    <t>textbook</t>
  </si>
  <si>
    <t>translation</t>
  </si>
  <si>
    <t>Scientific creations</t>
  </si>
  <si>
    <t>Aesthetic creations</t>
  </si>
  <si>
    <t>Academic contributions to public policy development</t>
  </si>
  <si>
    <t>Academic contributions to serve society</t>
  </si>
  <si>
    <t>others</t>
  </si>
  <si>
    <t>Teaching materials for academic rank</t>
  </si>
  <si>
    <t>Innovation</t>
  </si>
  <si>
    <t>Teaching material</t>
  </si>
  <si>
    <t>teaching package</t>
  </si>
  <si>
    <t>invention</t>
  </si>
  <si>
    <t>other works</t>
  </si>
  <si>
    <t>petty patented</t>
  </si>
  <si>
    <t>Total calculated teaching loads for other academic outputs</t>
  </si>
  <si>
    <t>3. Academic Service (refer to the announcement seciton 4)</t>
  </si>
  <si>
    <t>3.1 Academic Service</t>
  </si>
  <si>
    <t>Date</t>
  </si>
  <si>
    <t>Type of Academic Outputs</t>
  </si>
  <si>
    <t>Academic Services</t>
  </si>
  <si>
    <t>Number of Project / proposal / output/…</t>
  </si>
  <si>
    <t>Type of and Role in Academic Service</t>
  </si>
  <si>
    <t>Type of and Role in Academic Service (1) - (11)</t>
  </si>
  <si>
    <t xml:space="preserve">Head/Main Responsible Person/Secretary Academic Service Projects </t>
  </si>
  <si>
    <t>Co-Responsible Person/Academic Service Project Working Group</t>
  </si>
  <si>
    <t>Member of the examination committee for the outline of independent research/external thesis.</t>
  </si>
  <si>
    <t>Member of the Independent Examination/External Thesis Examination Committee</t>
  </si>
  <si>
    <t>Member of the external dissertation examination committee</t>
  </si>
  <si>
    <t>Member of the External Dissertation Examination Committee</t>
  </si>
  <si>
    <t>Be a qualified advisor, academic committee and/or external professional committee.</t>
  </si>
  <si>
    <t>To be a member of the Board of Directors to consider the appointment of persons to academic positions.</t>
  </si>
  <si>
    <t xml:space="preserve">Be an expert in considering research/creative work/academic articles. </t>
  </si>
  <si>
    <t>Be a lecturer within the institute</t>
  </si>
  <si>
    <t>Be an external lecturer</t>
  </si>
  <si>
    <t>Other Academic Services</t>
  </si>
  <si>
    <t>Other Academic Service (1)</t>
  </si>
  <si>
    <t>Type</t>
  </si>
  <si>
    <t>Total  teaching loads for academic service</t>
  </si>
  <si>
    <t>3.2 Externally funded Academic Service approved by Payap University (refer to the announcement section 4 item 12)</t>
  </si>
  <si>
    <t>Date of Approval (date / month / year)</t>
  </si>
  <si>
    <t>Contract Number</t>
  </si>
  <si>
    <t>Percentage of budget received from the whole project</t>
  </si>
  <si>
    <t>Number of Participants / peers</t>
  </si>
  <si>
    <r>
      <t>Amount of funds received from taking part in the the project (</t>
    </r>
    <r>
      <rPr>
        <sz val="10"/>
        <color theme="1"/>
        <rFont val="Wingdings"/>
        <charset val="2"/>
      </rPr>
      <t>ü</t>
    </r>
    <r>
      <rPr>
        <sz val="10"/>
        <color theme="1"/>
        <rFont val="Tahoma"/>
        <family val="2"/>
        <charset val="222"/>
        <scheme val="minor"/>
      </rPr>
      <t>)</t>
    </r>
  </si>
  <si>
    <t>From 1,000,000 Baht or more.</t>
  </si>
  <si>
    <t>Less than 19,999</t>
  </si>
  <si>
    <t>Total calculated teaching loads for extenally funded academic service approved by PYU</t>
  </si>
  <si>
    <t>4. Art and Culture Preservation / Student Development (refer to the announcement section 5 item 18)</t>
  </si>
  <si>
    <t xml:space="preserve">Art and Culture Preservation / Student Development </t>
  </si>
  <si>
    <r>
      <t>Type of Art and Culture Preservation / Student Development (</t>
    </r>
    <r>
      <rPr>
        <sz val="9"/>
        <color theme="1"/>
        <rFont val="Wingdings"/>
        <charset val="2"/>
      </rPr>
      <t>ü</t>
    </r>
    <r>
      <rPr>
        <sz val="9"/>
        <color theme="1"/>
        <rFont val="Tahoma"/>
        <family val="2"/>
        <scheme val="minor"/>
      </rPr>
      <t>)</t>
    </r>
  </si>
  <si>
    <t>Number of Projects</t>
  </si>
  <si>
    <t>Calculated Teaching Loads (per week)</t>
  </si>
  <si>
    <t>Art and Culture Preservation</t>
  </si>
  <si>
    <t>Student Development</t>
  </si>
  <si>
    <t>Total calculated teaching loads for art and culture preservation / student development</t>
  </si>
  <si>
    <t>5. Work Assigned by Payap University/Faculty or Department. (refer to the announcement section 6 item 20)</t>
  </si>
  <si>
    <t>Work Assigned by Payap University/Faculty or Department</t>
  </si>
  <si>
    <r>
      <t>Type of Work (</t>
    </r>
    <r>
      <rPr>
        <sz val="9"/>
        <color theme="1"/>
        <rFont val="Wingdings"/>
        <charset val="2"/>
      </rPr>
      <t>ü</t>
    </r>
    <r>
      <rPr>
        <sz val="9"/>
        <color theme="1"/>
        <rFont val="Tahoma"/>
        <family val="2"/>
        <charset val="222"/>
      </rPr>
      <t>)</t>
    </r>
  </si>
  <si>
    <t>Type of order (Announcement / Memo / Order)</t>
  </si>
  <si>
    <t>Number</t>
  </si>
  <si>
    <t>Title</t>
  </si>
  <si>
    <t>Position / Responsibility</t>
  </si>
  <si>
    <t>6. Administrative Role (Full-time equivalent, refer to the announcement)</t>
  </si>
  <si>
    <t>Position / Role</t>
  </si>
  <si>
    <t>7. Summary of Workloads</t>
  </si>
  <si>
    <t>Research, Creative or other academic output</t>
  </si>
  <si>
    <t>Academic Service</t>
  </si>
  <si>
    <t>Art and Culture Preservation / Student Development</t>
  </si>
  <si>
    <t>Administrative Role</t>
  </si>
  <si>
    <t>Total calculated teaching loads</t>
  </si>
  <si>
    <r>
      <t>Remark: If regular teaching duty is less then 24, please provide additional information. (</t>
    </r>
    <r>
      <rPr>
        <sz val="10"/>
        <color theme="1"/>
        <rFont val="Wingdings"/>
        <charset val="2"/>
      </rPr>
      <t>ü</t>
    </r>
    <r>
      <rPr>
        <sz val="10"/>
        <color theme="1"/>
        <rFont val="Tahoma"/>
        <family val="2"/>
        <charset val="222"/>
        <scheme val="minor"/>
      </rPr>
      <t>)</t>
    </r>
  </si>
  <si>
    <t>Having academic output</t>
  </si>
  <si>
    <t>Holding an administrative position</t>
  </si>
  <si>
    <t>Holding a non-administrative position (assigned by the university/faculty/department)</t>
  </si>
  <si>
    <t>Other. Please specify</t>
  </si>
  <si>
    <t>If regular teaching duty does not meet the minimum requirement,</t>
  </si>
  <si>
    <t>quialifed academic output for academic rank application is needed.</t>
  </si>
  <si>
    <t>Please identify the academic output.</t>
  </si>
  <si>
    <t>I hereby certify that the information given on this report is correct.</t>
  </si>
  <si>
    <t>Date ............/........................./............</t>
  </si>
  <si>
    <t>9. Dean's comment</t>
  </si>
  <si>
    <t>8. Head of Department's comment</t>
  </si>
  <si>
    <t xml:space="preserve">I have examined the workloads in all areas and verify that </t>
  </si>
  <si>
    <t>has</t>
  </si>
  <si>
    <t>meet the requirement.</t>
  </si>
  <si>
    <t>not meet the requirement</t>
  </si>
  <si>
    <t>refered to the 2023 university regulation.</t>
  </si>
  <si>
    <t>Position...................................................</t>
  </si>
  <si>
    <t>Date............/........................./............</t>
  </si>
  <si>
    <t>ไม่มี</t>
  </si>
  <si>
    <t>X(X-X-X)</t>
  </si>
  <si>
    <t xml:space="preserve">Total Teachning Loads at International College by non-International College lecturer </t>
  </si>
  <si>
    <r>
      <t xml:space="preserve">total teaching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2</t>
    </r>
  </si>
  <si>
    <r>
      <t xml:space="preserve">total teaching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1.5</t>
    </r>
  </si>
  <si>
    <t>One (1) teaching hour is equivalent to 0.15 teaching per week.</t>
  </si>
  <si>
    <t>One (1) teaching hour is equivalent to 0.10 teaching load per week.</t>
  </si>
  <si>
    <t>Credit Bank (Remarks : Apply to courses organised for credit bank students only)</t>
  </si>
  <si>
    <t>Remarks: in case that the coordinator and advisor is the same person, the highest teaching loads will be applied</t>
  </si>
  <si>
    <t>For Thesis, Independent Study, Projects or other similar courses</t>
  </si>
  <si>
    <t>Practicum/Internship / Fieldwork or other similar courses (3 ways of calculation)</t>
  </si>
  <si>
    <t xml:space="preserve">  1.  Calculated by the teaching hours for giving advice.</t>
  </si>
  <si>
    <r>
      <t xml:space="preserve">Total teaching hours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1.5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>15</t>
    </r>
  </si>
  <si>
    <t xml:space="preserve">  3.   Under the consideration of the faculty (Internship)</t>
  </si>
  <si>
    <t>1-5 students</t>
  </si>
  <si>
    <t>1 teachning load per each but not more than 6 teaching loads</t>
  </si>
  <si>
    <t>more than 6 students</t>
  </si>
  <si>
    <t>6 teaching loads</t>
  </si>
  <si>
    <t xml:space="preserve">Item 11 Extra teaching loads </t>
  </si>
  <si>
    <t>Remarks: only when one teacher is responsible for the whole courses</t>
  </si>
  <si>
    <t>Teaching 3 different courses</t>
  </si>
  <si>
    <t>1.1 Teaching 3 different courses.</t>
  </si>
  <si>
    <t>1.2 Teaching 4 different courses.</t>
  </si>
  <si>
    <t>1.3 Teaching 5 different courses.</t>
  </si>
  <si>
    <r>
      <t xml:space="preserve">total teaching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3.0</t>
    </r>
  </si>
  <si>
    <r>
      <t xml:space="preserve">total teaching hours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 xml:space="preserve"> 15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4.0</t>
    </r>
  </si>
  <si>
    <t>For  Independent Study, Projects or other similar courses</t>
  </si>
  <si>
    <t>Practicum / field trip or other similar courses</t>
  </si>
  <si>
    <r>
      <t xml:space="preserve">total teaching hour </t>
    </r>
    <r>
      <rPr>
        <sz val="10"/>
        <color rgb="FFFF0000"/>
        <rFont val="Symbol"/>
        <family val="1"/>
        <charset val="2"/>
      </rPr>
      <t>´</t>
    </r>
    <r>
      <rPr>
        <sz val="10"/>
        <color rgb="FFFF0000"/>
        <rFont val="Tahoma"/>
        <family val="2"/>
      </rPr>
      <t xml:space="preserve"> 1.5 </t>
    </r>
    <r>
      <rPr>
        <sz val="10"/>
        <color rgb="FFFF0000"/>
        <rFont val="Symbol"/>
        <family val="1"/>
        <charset val="2"/>
      </rPr>
      <t>¸</t>
    </r>
    <r>
      <rPr>
        <sz val="10"/>
        <color rgb="FFFF0000"/>
        <rFont val="Tahoma"/>
        <family val="2"/>
      </rPr>
      <t>15</t>
    </r>
  </si>
  <si>
    <t>Committee for Independent Study Proposal Defense</t>
  </si>
  <si>
    <t>Committee for Independent Study Defense</t>
  </si>
  <si>
    <t>Committee for Thesis Proposal Defense</t>
  </si>
  <si>
    <t>Committee for Thesis Defense</t>
  </si>
  <si>
    <t>Committee for Dissertation Proposal Defense</t>
  </si>
  <si>
    <t>Committee for Dissertation Defense</t>
  </si>
  <si>
    <t xml:space="preserve">Item 13 Calculation of research and other academic work assigned by PYU </t>
  </si>
  <si>
    <t>Item 13 (1) Workloads will be counted base on the timeframe indentified in the first research contract approved by Payap University, not applicable during the extension period.</t>
  </si>
  <si>
    <t>Item 13 (2) Research / creatives with external fund, not applicable during the extension period.</t>
  </si>
  <si>
    <t>Calculated by the percentage of participation (use the table in item 13(1)) or the amount of fund received.</t>
  </si>
  <si>
    <t>Considered/decided by of the faculty or unit. Not more than 7 workloads per week per project. (Remarks: the instructor has to submit the request for workload to IC Admin Board with necessary documents.)</t>
  </si>
  <si>
    <t>Classroom action research (Only the reseach project that is approved by PYU)</t>
  </si>
  <si>
    <t>Under the consideration of the faculty or unit. Not more than 7 teaching loads per week per project. (Remarks: the instructor has to submit the request for workload to IC Admin Board with necessary documents.)</t>
  </si>
  <si>
    <t>Section 4 item 15 Workload calculation for non-profit / profitable community services approved by the university and no additional renumeration.</t>
  </si>
  <si>
    <t>External committee for Independent Study/Thesis proposal.</t>
  </si>
  <si>
    <t>External committee for Independent Study/Thesis exam.</t>
  </si>
  <si>
    <t>External committee for Dissertation Study/Thesis proposal.</t>
  </si>
  <si>
    <t>External committee for Dissertation Study/Thesis exam.</t>
  </si>
  <si>
    <t>External expert/advisor/academic committee or professional committee.</t>
  </si>
  <si>
    <t>External committee for approving academic rank.</t>
  </si>
  <si>
    <t>External reviewers for academic outputs (Research articles /Creative works/ Academic articles)</t>
  </si>
  <si>
    <t>Under the consideration of the faculty (project head/coordinator each time)</t>
  </si>
  <si>
    <t>Under the consideration of the faculty (participants/ each time)</t>
  </si>
  <si>
    <t>Considered by the respective institution (Remarks: the instructor has to submit the request for workload to IC Admin Board with necessary documents.)</t>
  </si>
  <si>
    <t>Section 4 item 12 (12) externally funded academic service that is approved by Payap University.</t>
  </si>
  <si>
    <t>No workload for extension period. Calculated by the fund received.</t>
  </si>
  <si>
    <t>Section 5 item 18 Culture preservation/and student development</t>
  </si>
  <si>
    <t>Section 6 item 20 Other works assigned by PYU/Faculties</t>
  </si>
  <si>
    <t>Work Assigned by the University / Broad of Trustees                 
            -Head/Main person/Chairperson/Secretaryเลขานุการ</t>
  </si>
  <si>
    <t>Course Coordinator</t>
  </si>
  <si>
    <t>Considered by the head/director of the faculty/unit. Not more than 5 workloads per week.</t>
  </si>
  <si>
    <t xml:space="preserve"> - QA committee trainee</t>
  </si>
  <si>
    <t xml:space="preserve"> - Alternate Committee</t>
  </si>
  <si>
    <t xml:space="preserve"> - Alternate  Committee</t>
  </si>
  <si>
    <t>Report form for a full-time instructure, Payap university</t>
  </si>
  <si>
    <t>Academic year………………………………………</t>
  </si>
  <si>
    <t>Workload Items</t>
  </si>
  <si>
    <t>Total Calculated Teaching Loads</t>
  </si>
  <si>
    <t>Workloads</t>
  </si>
  <si>
    <t>First semester</t>
  </si>
  <si>
    <t>Second semester</t>
  </si>
  <si>
    <t>Total</t>
  </si>
  <si>
    <t>On average</t>
  </si>
  <si>
    <t>Details of researches, cretive or other academic output, books articles, if any.</t>
  </si>
  <si>
    <t>Head of Department's comment</t>
  </si>
  <si>
    <t>Dean's comment</t>
  </si>
  <si>
    <t>refered to the 2022 university regulation.</t>
  </si>
  <si>
    <t>International Program, Click YES</t>
  </si>
  <si>
    <t>(1) In case of co-teaching, calculate by teaching hours กรณีมีการสอนร่วมกันให้นำรายวิชารวมกันจนครบ 3 หน่วยกิต เท่ากับ 1 วิชา</t>
  </si>
  <si>
    <t>(1) Coordinator Refer to Item 9 (2) Special Teaching Duties</t>
  </si>
  <si>
    <t xml:space="preserve">(2) Advisor </t>
  </si>
  <si>
    <t>Proposal Defense</t>
  </si>
  <si>
    <t>Final Defense</t>
  </si>
  <si>
    <t>2.1 Research / creative approved by Payap University (refer to the announcement section 3 item 13 (1), 13 (2) and 13 (3)) Remarks: for external reseach choose either one</t>
  </si>
  <si>
    <t>For Internal / External Fundings</t>
  </si>
  <si>
    <t>Hospitality Industy Management</t>
  </si>
  <si>
    <t>(3) Practicum / Internship; use condition number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</si>
</sst>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0.0"/>
  </numFmts>
  <fonts count="59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0"/>
      <color theme="1"/>
      <name val="Calibri"/>
      <family val="2"/>
      <charset val="222"/>
    </font>
    <font>
      <sz val="10"/>
      <color theme="1"/>
      <name val="Wingdings"/>
      <charset val="2"/>
    </font>
    <font>
      <sz val="10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9"/>
      <color theme="1"/>
      <name val="Wingdings"/>
      <charset val="2"/>
    </font>
    <font>
      <sz val="9"/>
      <color theme="1"/>
      <name val="Tahoma"/>
      <family val="2"/>
      <scheme val="minor"/>
    </font>
    <font>
      <sz val="8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ahoma"/>
      <family val="2"/>
      <charset val="222"/>
    </font>
    <font>
      <sz val="10"/>
      <name val="Tahoma"/>
      <family val="2"/>
      <charset val="22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8"/>
      <name val="Tahoma"/>
      <family val="2"/>
      <scheme val="minor"/>
    </font>
    <font>
      <sz val="9"/>
      <name val="Tahoma"/>
      <family val="2"/>
      <scheme val="minor"/>
    </font>
    <font>
      <sz val="8"/>
      <color theme="1"/>
      <name val="Tahoma"/>
      <family val="2"/>
      <scheme val="minor"/>
    </font>
    <font>
      <sz val="10"/>
      <color rgb="FFFF0000"/>
      <name val="Tahoma"/>
      <family val="2"/>
      <charset val="222"/>
      <scheme val="minor"/>
    </font>
    <font>
      <sz val="10"/>
      <name val="Tahoma"/>
      <family val="2"/>
    </font>
    <font>
      <sz val="8"/>
      <name val="Tahoma"/>
      <family val="2"/>
      <charset val="222"/>
      <scheme val="minor"/>
    </font>
    <font>
      <sz val="7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0"/>
      <color rgb="FFFF0000"/>
      <name val="Tahoma"/>
      <family val="2"/>
    </font>
    <font>
      <b/>
      <sz val="11"/>
      <name val="Tahoma"/>
      <family val="2"/>
      <charset val="222"/>
    </font>
    <font>
      <sz val="11"/>
      <name val="Tahoma"/>
      <family val="2"/>
      <charset val="222"/>
    </font>
    <font>
      <sz val="10"/>
      <name val="Tahoma"/>
      <family val="2"/>
      <charset val="222"/>
    </font>
    <font>
      <sz val="10"/>
      <name val="Symbol"/>
      <family val="1"/>
      <charset val="2"/>
    </font>
    <font>
      <b/>
      <sz val="10"/>
      <color rgb="FF0000FF"/>
      <name val="Tahoma"/>
      <family val="2"/>
    </font>
    <font>
      <b/>
      <sz val="11"/>
      <color rgb="FF0000FF"/>
      <name val="Tahoma"/>
      <family val="2"/>
    </font>
    <font>
      <b/>
      <sz val="10"/>
      <color rgb="FF00B050"/>
      <name val="Tahoma"/>
      <family val="2"/>
    </font>
    <font>
      <b/>
      <u/>
      <sz val="10"/>
      <color rgb="FFFF0000"/>
      <name val="Tahoma"/>
      <family val="2"/>
    </font>
    <font>
      <b/>
      <sz val="9"/>
      <name val="Tahoma"/>
      <family val="2"/>
      <scheme val="minor"/>
    </font>
    <font>
      <sz val="10"/>
      <color theme="1"/>
      <name val="Tahoma"/>
      <family val="2"/>
      <scheme val="major"/>
    </font>
    <font>
      <sz val="8"/>
      <color theme="1"/>
      <name val="Tahoma"/>
      <family val="2"/>
      <scheme val="major"/>
    </font>
    <font>
      <sz val="7"/>
      <color theme="1"/>
      <name val="Tahoma"/>
      <family val="2"/>
      <scheme val="major"/>
    </font>
    <font>
      <sz val="8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9"/>
      <color theme="1"/>
      <name val="Tahoma"/>
      <family val="2"/>
      <scheme val="major"/>
    </font>
    <font>
      <sz val="9"/>
      <color theme="1"/>
      <name val="Tahoma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  <scheme val="major"/>
    </font>
    <font>
      <b/>
      <sz val="8"/>
      <color theme="1"/>
      <name val="Tahoma"/>
      <family val="2"/>
      <scheme val="minor"/>
    </font>
    <font>
      <sz val="10"/>
      <color rgb="FFFF0000"/>
      <name val="Tahoma"/>
      <family val="2"/>
      <charset val="222"/>
    </font>
    <font>
      <sz val="10"/>
      <color rgb="FFFF0000"/>
      <name val="Tahoma"/>
      <family val="2"/>
    </font>
    <font>
      <b/>
      <sz val="11"/>
      <color theme="1"/>
      <name val="Tahoma"/>
      <family val="2"/>
    </font>
    <font>
      <sz val="11"/>
      <color rgb="FF0000CC"/>
      <name val="Tahoma"/>
      <family val="2"/>
    </font>
    <font>
      <sz val="11"/>
      <color theme="1"/>
      <name val="Tahoma"/>
      <family val="2"/>
    </font>
    <font>
      <sz val="10"/>
      <color rgb="FFFF0000"/>
      <name val="Symbol"/>
      <family val="1"/>
      <charset val="2"/>
    </font>
    <font>
      <sz val="11"/>
      <color rgb="FFFF0000"/>
      <name val="Tahoma"/>
      <family val="2"/>
    </font>
    <font>
      <sz val="10"/>
      <color rgb="FF0000CC"/>
      <name val="Tahoma"/>
      <family val="2"/>
      <charset val="222"/>
    </font>
    <font>
      <sz val="10"/>
      <color rgb="FF0000CC"/>
      <name val="Tahoma"/>
      <family val="2"/>
    </font>
    <font>
      <b/>
      <sz val="9"/>
      <name val="TH SarabunPSK"/>
      <family val="2"/>
    </font>
    <font>
      <sz val="7"/>
      <color theme="1"/>
      <name val="Calibri"/>
      <family val="2"/>
    </font>
    <font>
      <u/>
      <sz val="10"/>
      <color theme="1"/>
      <name val="Tahoma"/>
      <family val="2"/>
      <charset val="222"/>
      <scheme val="minor"/>
    </font>
    <font>
      <sz val="7"/>
      <name val="Tahoma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3F1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187" fontId="25" fillId="0" borderId="0" applyFont="0" applyFill="0" applyBorder="0" applyAlignment="0" applyProtection="0"/>
  </cellStyleXfs>
  <cellXfs count="7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9" fillId="0" borderId="0" xfId="0" applyFont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7" fillId="0" borderId="28" xfId="1" applyFont="1" applyBorder="1" applyAlignment="1">
      <alignment horizontal="center"/>
    </xf>
    <xf numFmtId="2" fontId="16" fillId="5" borderId="30" xfId="1" applyNumberFormat="1" applyFont="1" applyFill="1" applyBorder="1" applyAlignment="1">
      <alignment horizontal="center"/>
    </xf>
    <xf numFmtId="0" fontId="19" fillId="0" borderId="11" xfId="1" applyFont="1" applyBorder="1" applyAlignment="1">
      <alignment horizontal="center" vertical="center" wrapText="1"/>
    </xf>
    <xf numFmtId="0" fontId="17" fillId="0" borderId="29" xfId="1" applyFont="1" applyBorder="1"/>
    <xf numFmtId="0" fontId="17" fillId="0" borderId="17" xfId="1" applyFont="1" applyBorder="1"/>
    <xf numFmtId="0" fontId="17" fillId="0" borderId="4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2" fontId="16" fillId="5" borderId="32" xfId="1" applyNumberFormat="1" applyFont="1" applyFill="1" applyBorder="1" applyAlignment="1">
      <alignment horizontal="center"/>
    </xf>
    <xf numFmtId="2" fontId="16" fillId="5" borderId="9" xfId="1" applyNumberFormat="1" applyFont="1" applyFill="1" applyBorder="1" applyAlignment="1">
      <alignment horizontal="center"/>
    </xf>
    <xf numFmtId="2" fontId="16" fillId="5" borderId="36" xfId="1" applyNumberFormat="1" applyFont="1" applyFill="1" applyBorder="1" applyAlignment="1">
      <alignment horizontal="center"/>
    </xf>
    <xf numFmtId="0" fontId="1" fillId="0" borderId="9" xfId="0" applyFont="1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Alignment="1">
      <alignment vertical="center"/>
    </xf>
    <xf numFmtId="2" fontId="16" fillId="0" borderId="0" xfId="1" applyNumberFormat="1" applyFont="1" applyAlignment="1">
      <alignment horizontal="center"/>
    </xf>
    <xf numFmtId="0" fontId="1" fillId="0" borderId="9" xfId="0" quotePrefix="1" applyFont="1" applyBorder="1" applyAlignment="1">
      <alignment vertical="center" wrapText="1"/>
    </xf>
    <xf numFmtId="0" fontId="1" fillId="0" borderId="6" xfId="0" quotePrefix="1" applyFont="1" applyBorder="1" applyAlignment="1">
      <alignment vertical="center" wrapText="1"/>
    </xf>
    <xf numFmtId="0" fontId="21" fillId="0" borderId="0" xfId="0" applyFont="1"/>
    <xf numFmtId="0" fontId="1" fillId="0" borderId="1" xfId="0" applyFont="1" applyBorder="1" applyAlignment="1">
      <alignment horizontal="center" vertical="center"/>
    </xf>
    <xf numFmtId="0" fontId="19" fillId="5" borderId="26" xfId="1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1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10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1" xfId="0" applyFont="1" applyBorder="1"/>
    <xf numFmtId="0" fontId="28" fillId="0" borderId="0" xfId="0" applyFont="1"/>
    <xf numFmtId="0" fontId="29" fillId="0" borderId="0" xfId="0" applyFont="1"/>
    <xf numFmtId="0" fontId="28" fillId="0" borderId="1" xfId="0" applyFont="1" applyBorder="1" applyAlignment="1">
      <alignment horizontal="center" vertical="center" wrapText="1"/>
    </xf>
    <xf numFmtId="0" fontId="29" fillId="0" borderId="1" xfId="0" quotePrefix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1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9" fillId="0" borderId="9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5" xfId="0" applyFont="1" applyBorder="1"/>
    <xf numFmtId="0" fontId="29" fillId="0" borderId="9" xfId="0" applyFont="1" applyBorder="1"/>
    <xf numFmtId="0" fontId="29" fillId="0" borderId="6" xfId="0" applyFont="1" applyBorder="1"/>
    <xf numFmtId="0" fontId="29" fillId="0" borderId="1" xfId="0" applyFont="1" applyBorder="1" applyAlignment="1">
      <alignment horizontal="left"/>
    </xf>
    <xf numFmtId="0" fontId="29" fillId="0" borderId="4" xfId="0" applyFont="1" applyBorder="1" applyAlignment="1">
      <alignment vertical="center" wrapText="1"/>
    </xf>
    <xf numFmtId="0" fontId="29" fillId="0" borderId="3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/>
    <xf numFmtId="0" fontId="29" fillId="0" borderId="0" xfId="0" quotePrefix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29" fillId="0" borderId="1" xfId="0" quotePrefix="1" applyFont="1" applyBorder="1" applyAlignment="1">
      <alignment horizontal="center" vertical="top"/>
    </xf>
    <xf numFmtId="0" fontId="29" fillId="0" borderId="1" xfId="0" applyFont="1" applyBorder="1" applyAlignment="1">
      <alignment vertical="top"/>
    </xf>
    <xf numFmtId="0" fontId="29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wrapText="1"/>
    </xf>
    <xf numFmtId="0" fontId="22" fillId="0" borderId="5" xfId="0" applyFont="1" applyBorder="1" applyAlignment="1">
      <alignment horizontal="left" vertical="center" wrapText="1"/>
    </xf>
    <xf numFmtId="0" fontId="32" fillId="0" borderId="0" xfId="0" applyFont="1"/>
    <xf numFmtId="0" fontId="31" fillId="0" borderId="0" xfId="0" applyFont="1"/>
    <xf numFmtId="0" fontId="29" fillId="0" borderId="2" xfId="0" quotePrefix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" fillId="6" borderId="0" xfId="0" applyFont="1" applyFill="1"/>
    <xf numFmtId="0" fontId="3" fillId="7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10" borderId="0" xfId="0" applyFont="1" applyFill="1"/>
    <xf numFmtId="0" fontId="1" fillId="11" borderId="0" xfId="0" applyFont="1" applyFill="1"/>
    <xf numFmtId="2" fontId="1" fillId="10" borderId="0" xfId="0" applyNumberFormat="1" applyFont="1" applyFill="1"/>
    <xf numFmtId="2" fontId="1" fillId="11" borderId="0" xfId="0" applyNumberFormat="1" applyFont="1" applyFill="1"/>
    <xf numFmtId="187" fontId="1" fillId="6" borderId="6" xfId="2" applyFont="1" applyFill="1" applyBorder="1" applyAlignment="1">
      <alignment horizontal="center"/>
    </xf>
    <xf numFmtId="0" fontId="35" fillId="6" borderId="1" xfId="0" applyFont="1" applyFill="1" applyBorder="1"/>
    <xf numFmtId="187" fontId="16" fillId="6" borderId="1" xfId="2" applyFont="1" applyFill="1" applyBorder="1"/>
    <xf numFmtId="187" fontId="9" fillId="6" borderId="1" xfId="2" applyFont="1" applyFill="1" applyBorder="1"/>
    <xf numFmtId="187" fontId="16" fillId="6" borderId="1" xfId="0" applyNumberFormat="1" applyFont="1" applyFill="1" applyBorder="1"/>
    <xf numFmtId="0" fontId="1" fillId="7" borderId="1" xfId="0" applyFont="1" applyFill="1" applyBorder="1"/>
    <xf numFmtId="0" fontId="5" fillId="7" borderId="4" xfId="0" applyFont="1" applyFill="1" applyBorder="1" applyAlignment="1">
      <alignment horizontal="center"/>
    </xf>
    <xf numFmtId="0" fontId="19" fillId="7" borderId="11" xfId="1" applyFont="1" applyFill="1" applyBorder="1" applyAlignment="1">
      <alignment horizontal="center" vertical="center" wrapText="1"/>
    </xf>
    <xf numFmtId="0" fontId="17" fillId="7" borderId="34" xfId="1" applyFont="1" applyFill="1" applyBorder="1" applyAlignment="1">
      <alignment horizontal="center"/>
    </xf>
    <xf numFmtId="0" fontId="17" fillId="7" borderId="25" xfId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6" fillId="0" borderId="0" xfId="0" applyFont="1"/>
    <xf numFmtId="0" fontId="39" fillId="0" borderId="3" xfId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7" borderId="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8" fillId="7" borderId="1" xfId="0" applyFont="1" applyFill="1" applyBorder="1" applyAlignment="1">
      <alignment horizontal="left"/>
    </xf>
    <xf numFmtId="187" fontId="36" fillId="6" borderId="1" xfId="2" applyFont="1" applyFill="1" applyBorder="1" applyAlignment="1">
      <alignment horizontal="center"/>
    </xf>
    <xf numFmtId="187" fontId="40" fillId="6" borderId="1" xfId="2" applyFont="1" applyFill="1" applyBorder="1" applyAlignment="1">
      <alignment horizontal="center"/>
    </xf>
    <xf numFmtId="0" fontId="37" fillId="4" borderId="4" xfId="0" applyFont="1" applyFill="1" applyBorder="1" applyAlignment="1">
      <alignment horizontal="center" vertical="center" wrapText="1"/>
    </xf>
    <xf numFmtId="2" fontId="16" fillId="5" borderId="1" xfId="1" applyNumberFormat="1" applyFont="1" applyFill="1" applyBorder="1" applyAlignment="1">
      <alignment horizontal="center"/>
    </xf>
    <xf numFmtId="2" fontId="16" fillId="5" borderId="41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6" xfId="0" applyFont="1" applyBorder="1"/>
    <xf numFmtId="0" fontId="1" fillId="6" borderId="6" xfId="0" quotePrefix="1" applyFont="1" applyFill="1" applyBorder="1" applyAlignment="1">
      <alignment horizontal="center" vertical="center" wrapText="1"/>
    </xf>
    <xf numFmtId="0" fontId="1" fillId="6" borderId="1" xfId="0" quotePrefix="1" applyFont="1" applyFill="1" applyBorder="1" applyAlignment="1">
      <alignment horizontal="center" vertical="center" wrapText="1"/>
    </xf>
    <xf numFmtId="187" fontId="1" fillId="6" borderId="1" xfId="2" applyFont="1" applyFill="1" applyBorder="1" applyAlignment="1">
      <alignment horizontal="center"/>
    </xf>
    <xf numFmtId="0" fontId="24" fillId="7" borderId="6" xfId="0" applyFont="1" applyFill="1" applyBorder="1"/>
    <xf numFmtId="0" fontId="24" fillId="7" borderId="1" xfId="0" applyFont="1" applyFill="1" applyBorder="1"/>
    <xf numFmtId="187" fontId="9" fillId="6" borderId="1" xfId="0" applyNumberFormat="1" applyFont="1" applyFill="1" applyBorder="1" applyAlignment="1">
      <alignment horizontal="center"/>
    </xf>
    <xf numFmtId="187" fontId="9" fillId="6" borderId="1" xfId="2" applyFont="1" applyFill="1" applyBorder="1" applyAlignment="1">
      <alignment horizontal="center"/>
    </xf>
    <xf numFmtId="0" fontId="1" fillId="9" borderId="9" xfId="0" quotePrefix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8" fillId="0" borderId="13" xfId="0" quotePrefix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187" fontId="4" fillId="0" borderId="1" xfId="2" applyFont="1" applyBorder="1" applyAlignment="1">
      <alignment horizontal="left"/>
    </xf>
    <xf numFmtId="187" fontId="9" fillId="6" borderId="1" xfId="2" applyFont="1" applyFill="1" applyBorder="1" applyAlignment="1">
      <alignment horizontal="center" vertical="center"/>
    </xf>
    <xf numFmtId="187" fontId="1" fillId="6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vertical="center"/>
    </xf>
    <xf numFmtId="0" fontId="29" fillId="0" borderId="1" xfId="0" applyFont="1" applyBorder="1" applyAlignment="1">
      <alignment horizontal="center" wrapText="1"/>
    </xf>
    <xf numFmtId="0" fontId="46" fillId="0" borderId="5" xfId="0" applyFont="1" applyBorder="1" applyAlignment="1">
      <alignment horizontal="left"/>
    </xf>
    <xf numFmtId="0" fontId="29" fillId="0" borderId="9" xfId="0" quotePrefix="1" applyFont="1" applyBorder="1" applyAlignment="1">
      <alignment horizontal="center" vertical="center"/>
    </xf>
    <xf numFmtId="16" fontId="47" fillId="0" borderId="1" xfId="0" quotePrefix="1" applyNumberFormat="1" applyFont="1" applyBorder="1" applyAlignment="1">
      <alignment horizontal="center"/>
    </xf>
    <xf numFmtId="0" fontId="47" fillId="0" borderId="1" xfId="0" quotePrefix="1" applyFont="1" applyBorder="1" applyAlignment="1">
      <alignment horizontal="center"/>
    </xf>
    <xf numFmtId="0" fontId="49" fillId="0" borderId="0" xfId="0" applyFont="1"/>
    <xf numFmtId="0" fontId="50" fillId="0" borderId="0" xfId="0" applyFont="1"/>
    <xf numFmtId="0" fontId="47" fillId="0" borderId="0" xfId="0" applyFont="1"/>
    <xf numFmtId="0" fontId="50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47" fillId="0" borderId="9" xfId="0" applyFont="1" applyBorder="1" applyAlignment="1">
      <alignment vertical="center"/>
    </xf>
    <xf numFmtId="0" fontId="53" fillId="0" borderId="1" xfId="0" applyFont="1" applyBorder="1" applyAlignment="1">
      <alignment horizontal="center" wrapText="1"/>
    </xf>
    <xf numFmtId="0" fontId="47" fillId="0" borderId="5" xfId="0" applyFont="1" applyBorder="1"/>
    <xf numFmtId="0" fontId="14" fillId="0" borderId="1" xfId="0" applyFont="1" applyBorder="1" applyAlignment="1">
      <alignment horizontal="center"/>
    </xf>
    <xf numFmtId="0" fontId="53" fillId="0" borderId="5" xfId="0" applyFont="1" applyBorder="1" applyAlignment="1">
      <alignment horizontal="left"/>
    </xf>
    <xf numFmtId="0" fontId="47" fillId="0" borderId="6" xfId="0" applyFont="1" applyBorder="1"/>
    <xf numFmtId="0" fontId="47" fillId="0" borderId="1" xfId="0" applyFont="1" applyBorder="1" applyAlignment="1">
      <alignment horizontal="left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47" fillId="0" borderId="3" xfId="0" applyFont="1" applyBorder="1" applyAlignment="1">
      <alignment vertical="center"/>
    </xf>
    <xf numFmtId="0" fontId="47" fillId="0" borderId="1" xfId="0" quotePrefix="1" applyFont="1" applyBorder="1" applyAlignment="1">
      <alignment horizontal="center" vertical="center"/>
    </xf>
    <xf numFmtId="0" fontId="47" fillId="0" borderId="8" xfId="0" applyFont="1" applyBorder="1" applyAlignment="1">
      <alignment vertical="center"/>
    </xf>
    <xf numFmtId="0" fontId="47" fillId="0" borderId="1" xfId="0" applyFont="1" applyBorder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1" xfId="0" quotePrefix="1" applyFont="1" applyBorder="1" applyAlignment="1">
      <alignment horizontal="center" vertical="top"/>
    </xf>
    <xf numFmtId="0" fontId="5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47" fillId="0" borderId="11" xfId="0" applyFont="1" applyBorder="1" applyAlignment="1">
      <alignment vertical="center" wrapText="1"/>
    </xf>
    <xf numFmtId="0" fontId="53" fillId="0" borderId="5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6" xfId="0" applyFont="1" applyBorder="1" applyAlignment="1">
      <alignment horizontal="left" vertical="center" wrapText="1"/>
    </xf>
    <xf numFmtId="0" fontId="47" fillId="0" borderId="1" xfId="0" applyFont="1" applyBorder="1"/>
    <xf numFmtId="0" fontId="47" fillId="0" borderId="4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center" vertical="top"/>
    </xf>
    <xf numFmtId="0" fontId="22" fillId="0" borderId="1" xfId="0" quotePrefix="1" applyFont="1" applyBorder="1" applyAlignment="1">
      <alignment horizontal="center" vertical="top"/>
    </xf>
    <xf numFmtId="0" fontId="14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9" fillId="4" borderId="24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/>
    </xf>
    <xf numFmtId="0" fontId="8" fillId="7" borderId="1" xfId="0" quotePrefix="1" applyFont="1" applyFill="1" applyBorder="1" applyAlignment="1">
      <alignment horizontal="center" vertical="center" wrapText="1"/>
    </xf>
    <xf numFmtId="0" fontId="24" fillId="6" borderId="4" xfId="0" quotePrefix="1" applyFont="1" applyFill="1" applyBorder="1" applyAlignment="1">
      <alignment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7" xfId="0" applyFont="1" applyBorder="1"/>
    <xf numFmtId="0" fontId="1" fillId="3" borderId="12" xfId="0" applyFont="1" applyFill="1" applyBorder="1" applyAlignment="1">
      <alignment vertical="center"/>
    </xf>
    <xf numFmtId="0" fontId="1" fillId="3" borderId="9" xfId="0" applyFont="1" applyFill="1" applyBorder="1"/>
    <xf numFmtId="0" fontId="24" fillId="7" borderId="1" xfId="0" applyFont="1" applyFill="1" applyBorder="1" applyAlignment="1">
      <alignment horizontal="center"/>
    </xf>
    <xf numFmtId="49" fontId="1" fillId="3" borderId="12" xfId="0" quotePrefix="1" applyNumberFormat="1" applyFont="1" applyFill="1" applyBorder="1" applyAlignment="1">
      <alignment vertical="center"/>
    </xf>
    <xf numFmtId="0" fontId="17" fillId="0" borderId="9" xfId="1" applyFont="1" applyBorder="1" applyAlignment="1">
      <alignment horizontal="center"/>
    </xf>
    <xf numFmtId="0" fontId="19" fillId="5" borderId="4" xfId="1" applyFont="1" applyFill="1" applyBorder="1" applyAlignment="1">
      <alignment horizontal="center" vertical="center" wrapText="1"/>
    </xf>
    <xf numFmtId="187" fontId="16" fillId="5" borderId="1" xfId="2" applyFont="1" applyFill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24" fillId="4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5" fillId="4" borderId="35" xfId="0" applyFont="1" applyFill="1" applyBorder="1" applyAlignment="1">
      <alignment horizontal="center" vertical="center" wrapText="1"/>
    </xf>
    <xf numFmtId="0" fontId="58" fillId="5" borderId="4" xfId="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" xfId="0" quotePrefix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quotePrefix="1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15" xfId="0" applyFont="1" applyBorder="1" applyAlignment="1">
      <alignment horizontal="left" vertical="center"/>
    </xf>
    <xf numFmtId="0" fontId="29" fillId="0" borderId="9" xfId="0" applyFont="1" applyBorder="1" applyAlignment="1">
      <alignment horizontal="center"/>
    </xf>
    <xf numFmtId="0" fontId="47" fillId="0" borderId="5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1" xfId="0" quotePrefix="1" applyFont="1" applyBorder="1" applyAlignment="1">
      <alignment horizontal="center" vertical="center" wrapText="1"/>
    </xf>
    <xf numFmtId="0" fontId="47" fillId="0" borderId="5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87" fontId="1" fillId="6" borderId="6" xfId="2" applyFont="1" applyFill="1" applyBorder="1" applyAlignment="1">
      <alignment horizontal="center"/>
    </xf>
    <xf numFmtId="16" fontId="14" fillId="12" borderId="1" xfId="0" applyNumberFormat="1" applyFont="1" applyFill="1" applyBorder="1" applyAlignment="1">
      <alignment horizontal="center"/>
    </xf>
    <xf numFmtId="0" fontId="47" fillId="12" borderId="5" xfId="0" applyFont="1" applyFill="1" applyBorder="1" applyAlignment="1">
      <alignment horizontal="left" vertical="center" wrapText="1"/>
    </xf>
    <xf numFmtId="0" fontId="29" fillId="12" borderId="0" xfId="0" applyFont="1" applyFill="1" applyAlignment="1">
      <alignment horizontal="left"/>
    </xf>
    <xf numFmtId="0" fontId="29" fillId="12" borderId="0" xfId="0" applyFont="1" applyFill="1" applyAlignment="1">
      <alignment horizontal="center"/>
    </xf>
    <xf numFmtId="0" fontId="46" fillId="12" borderId="0" xfId="0" applyFont="1" applyFill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Border="1"/>
    <xf numFmtId="0" fontId="1" fillId="0" borderId="15" xfId="0" applyFont="1" applyBorder="1" applyAlignment="1"/>
    <xf numFmtId="0" fontId="1" fillId="0" borderId="0" xfId="0" applyFont="1" applyBorder="1" applyAlignment="1"/>
    <xf numFmtId="0" fontId="1" fillId="0" borderId="16" xfId="0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13" xfId="0" applyFont="1" applyBorder="1" applyAlignment="1"/>
    <xf numFmtId="0" fontId="29" fillId="8" borderId="5" xfId="0" applyFont="1" applyFill="1" applyBorder="1" applyAlignment="1">
      <alignment horizontal="left" vertical="center" wrapText="1"/>
    </xf>
    <xf numFmtId="0" fontId="29" fillId="8" borderId="6" xfId="0" applyFont="1" applyFill="1" applyBorder="1" applyAlignment="1">
      <alignment horizontal="left" vertical="center" wrapText="1"/>
    </xf>
    <xf numFmtId="0" fontId="29" fillId="8" borderId="11" xfId="0" applyFont="1" applyFill="1" applyBorder="1" applyAlignment="1">
      <alignment horizontal="left" vertical="center" wrapText="1" indent="4"/>
    </xf>
    <xf numFmtId="0" fontId="29" fillId="8" borderId="13" xfId="0" applyFont="1" applyFill="1" applyBorder="1" applyAlignment="1">
      <alignment horizontal="left" vertical="center" wrapText="1" indent="4"/>
    </xf>
    <xf numFmtId="0" fontId="29" fillId="8" borderId="11" xfId="0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left" vertical="center" wrapText="1"/>
    </xf>
    <xf numFmtId="0" fontId="29" fillId="8" borderId="7" xfId="0" applyFont="1" applyFill="1" applyBorder="1" applyAlignment="1">
      <alignment horizontal="left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8" borderId="7" xfId="0" applyFont="1" applyFill="1" applyBorder="1" applyAlignment="1">
      <alignment horizontal="center" vertical="center" wrapText="1"/>
    </xf>
    <xf numFmtId="0" fontId="29" fillId="0" borderId="3" xfId="0" quotePrefix="1" applyFont="1" applyBorder="1" applyAlignment="1">
      <alignment horizontal="center" vertical="center"/>
    </xf>
    <xf numFmtId="0" fontId="29" fillId="0" borderId="8" xfId="0" quotePrefix="1" applyFont="1" applyBorder="1" applyAlignment="1">
      <alignment horizontal="center" vertical="center"/>
    </xf>
    <xf numFmtId="0" fontId="29" fillId="0" borderId="4" xfId="0" quotePrefix="1" applyFont="1" applyBorder="1" applyAlignment="1">
      <alignment horizontal="center" vertical="center"/>
    </xf>
    <xf numFmtId="0" fontId="29" fillId="8" borderId="15" xfId="0" applyFont="1" applyFill="1" applyBorder="1" applyAlignment="1">
      <alignment horizontal="left" vertical="center" wrapText="1" indent="4"/>
    </xf>
    <xf numFmtId="0" fontId="29" fillId="8" borderId="16" xfId="0" applyFont="1" applyFill="1" applyBorder="1" applyAlignment="1">
      <alignment horizontal="left" vertical="center" wrapText="1" indent="4"/>
    </xf>
    <xf numFmtId="188" fontId="29" fillId="8" borderId="15" xfId="0" applyNumberFormat="1" applyFont="1" applyFill="1" applyBorder="1" applyAlignment="1">
      <alignment horizontal="center" vertical="center" wrapText="1"/>
    </xf>
    <xf numFmtId="188" fontId="29" fillId="8" borderId="16" xfId="0" applyNumberFormat="1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left" vertical="center" wrapText="1" indent="4"/>
    </xf>
    <xf numFmtId="0" fontId="29" fillId="8" borderId="7" xfId="0" applyFont="1" applyFill="1" applyBorder="1" applyAlignment="1">
      <alignment horizontal="left" vertical="center" wrapText="1" indent="4"/>
    </xf>
    <xf numFmtId="0" fontId="29" fillId="8" borderId="15" xfId="0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 wrapText="1"/>
    </xf>
    <xf numFmtId="188" fontId="29" fillId="8" borderId="11" xfId="0" applyNumberFormat="1" applyFont="1" applyFill="1" applyBorder="1" applyAlignment="1">
      <alignment horizontal="center" vertical="center" wrapText="1"/>
    </xf>
    <xf numFmtId="188" fontId="29" fillId="8" borderId="13" xfId="0" applyNumberFormat="1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left" vertical="center" wrapText="1" indent="4"/>
    </xf>
    <xf numFmtId="0" fontId="29" fillId="8" borderId="4" xfId="0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left" vertical="center" wrapText="1"/>
    </xf>
    <xf numFmtId="0" fontId="29" fillId="8" borderId="3" xfId="0" applyFont="1" applyFill="1" applyBorder="1" applyAlignment="1">
      <alignment horizontal="left" vertical="center" wrapText="1"/>
    </xf>
    <xf numFmtId="0" fontId="29" fillId="8" borderId="3" xfId="0" applyFont="1" applyFill="1" applyBorder="1" applyAlignment="1">
      <alignment horizontal="center" vertical="center" wrapText="1"/>
    </xf>
    <xf numFmtId="0" fontId="29" fillId="8" borderId="8" xfId="0" applyFont="1" applyFill="1" applyBorder="1" applyAlignment="1">
      <alignment horizontal="left" vertical="center" wrapText="1" indent="4"/>
    </xf>
    <xf numFmtId="0" fontId="29" fillId="8" borderId="8" xfId="0" applyFont="1" applyFill="1" applyBorder="1" applyAlignment="1">
      <alignment horizontal="center" vertical="center" wrapText="1"/>
    </xf>
    <xf numFmtId="16" fontId="29" fillId="8" borderId="5" xfId="0" quotePrefix="1" applyNumberFormat="1" applyFont="1" applyFill="1" applyBorder="1" applyAlignment="1">
      <alignment horizontal="center" vertical="center" wrapText="1"/>
    </xf>
    <xf numFmtId="16" fontId="29" fillId="8" borderId="6" xfId="0" quotePrefix="1" applyNumberFormat="1" applyFont="1" applyFill="1" applyBorder="1" applyAlignment="1">
      <alignment horizontal="center" vertical="center" wrapText="1"/>
    </xf>
    <xf numFmtId="0" fontId="29" fillId="0" borderId="3" xfId="0" quotePrefix="1" applyFont="1" applyBorder="1" applyAlignment="1">
      <alignment horizontal="center" vertical="top"/>
    </xf>
    <xf numFmtId="0" fontId="29" fillId="0" borderId="4" xfId="0" quotePrefix="1" applyFont="1" applyBorder="1" applyAlignment="1">
      <alignment horizontal="center" vertical="top"/>
    </xf>
    <xf numFmtId="0" fontId="29" fillId="8" borderId="3" xfId="0" applyFont="1" applyFill="1" applyBorder="1" applyAlignment="1">
      <alignment horizontal="center" wrapText="1"/>
    </xf>
    <xf numFmtId="49" fontId="29" fillId="8" borderId="4" xfId="0" applyNumberFormat="1" applyFont="1" applyFill="1" applyBorder="1" applyAlignment="1">
      <alignment horizontal="left" vertical="center" wrapText="1" indent="4"/>
    </xf>
    <xf numFmtId="0" fontId="29" fillId="8" borderId="5" xfId="0" quotePrefix="1" applyFont="1" applyFill="1" applyBorder="1" applyAlignment="1">
      <alignment horizontal="center" vertical="center" wrapText="1"/>
    </xf>
    <xf numFmtId="0" fontId="29" fillId="8" borderId="6" xfId="0" quotePrefix="1" applyFont="1" applyFill="1" applyBorder="1" applyAlignment="1">
      <alignment horizontal="center" vertical="center" wrapText="1"/>
    </xf>
    <xf numFmtId="0" fontId="29" fillId="8" borderId="11" xfId="0" applyFont="1" applyFill="1" applyBorder="1" applyAlignment="1">
      <alignment horizontal="left" vertical="center" wrapText="1"/>
    </xf>
    <xf numFmtId="0" fontId="29" fillId="8" borderId="13" xfId="0" applyFont="1" applyFill="1" applyBorder="1" applyAlignment="1">
      <alignment horizontal="left" vertical="center" wrapText="1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9" fillId="0" borderId="1" xfId="0" quotePrefix="1" applyFont="1" applyBorder="1" applyAlignment="1">
      <alignment horizontal="center" vertical="center" wrapText="1"/>
    </xf>
    <xf numFmtId="0" fontId="29" fillId="0" borderId="5" xfId="0" quotePrefix="1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" xfId="0" quotePrefix="1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9" xfId="0" applyFont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9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3" fillId="8" borderId="15" xfId="0" applyFont="1" applyFill="1" applyBorder="1" applyAlignment="1">
      <alignment horizontal="left" vertical="center" wrapText="1" indent="4"/>
    </xf>
    <xf numFmtId="0" fontId="53" fillId="8" borderId="16" xfId="0" applyFont="1" applyFill="1" applyBorder="1" applyAlignment="1">
      <alignment horizontal="left" vertical="center" wrapText="1" indent="4"/>
    </xf>
    <xf numFmtId="188" fontId="53" fillId="8" borderId="15" xfId="0" applyNumberFormat="1" applyFont="1" applyFill="1" applyBorder="1" applyAlignment="1">
      <alignment horizontal="center" vertical="center" wrapText="1"/>
    </xf>
    <xf numFmtId="188" fontId="53" fillId="8" borderId="16" xfId="0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left"/>
    </xf>
    <xf numFmtId="0" fontId="47" fillId="0" borderId="6" xfId="0" applyFont="1" applyBorder="1" applyAlignment="1">
      <alignment horizontal="left"/>
    </xf>
    <xf numFmtId="0" fontId="47" fillId="0" borderId="5" xfId="0" applyFont="1" applyBorder="1" applyAlignment="1">
      <alignment horizontal="left" wrapText="1"/>
    </xf>
    <xf numFmtId="0" fontId="47" fillId="0" borderId="6" xfId="0" applyFont="1" applyBorder="1" applyAlignment="1">
      <alignment horizontal="left" wrapText="1"/>
    </xf>
    <xf numFmtId="0" fontId="47" fillId="8" borderId="15" xfId="0" applyFont="1" applyFill="1" applyBorder="1" applyAlignment="1">
      <alignment horizontal="left" vertical="center" wrapText="1" indent="4"/>
    </xf>
    <xf numFmtId="0" fontId="47" fillId="8" borderId="16" xfId="0" applyFont="1" applyFill="1" applyBorder="1" applyAlignment="1">
      <alignment horizontal="left" vertical="center" wrapText="1" indent="4"/>
    </xf>
    <xf numFmtId="0" fontId="47" fillId="8" borderId="15" xfId="0" applyFont="1" applyFill="1" applyBorder="1" applyAlignment="1">
      <alignment horizontal="center" vertical="center" wrapText="1"/>
    </xf>
    <xf numFmtId="0" fontId="47" fillId="8" borderId="16" xfId="0" applyFont="1" applyFill="1" applyBorder="1" applyAlignment="1">
      <alignment horizontal="center" vertical="center" wrapText="1"/>
    </xf>
    <xf numFmtId="0" fontId="47" fillId="8" borderId="11" xfId="0" applyFont="1" applyFill="1" applyBorder="1" applyAlignment="1">
      <alignment horizontal="left" vertical="center" wrapText="1" indent="4"/>
    </xf>
    <xf numFmtId="0" fontId="47" fillId="8" borderId="13" xfId="0" applyFont="1" applyFill="1" applyBorder="1" applyAlignment="1">
      <alignment horizontal="left" vertical="center" wrapText="1" indent="4"/>
    </xf>
    <xf numFmtId="0" fontId="47" fillId="8" borderId="11" xfId="0" applyFont="1" applyFill="1" applyBorder="1" applyAlignment="1">
      <alignment horizontal="center" vertical="center" wrapText="1"/>
    </xf>
    <xf numFmtId="0" fontId="47" fillId="8" borderId="13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/>
    </xf>
    <xf numFmtId="0" fontId="22" fillId="0" borderId="8" xfId="0" quotePrefix="1" applyFont="1" applyBorder="1" applyAlignment="1">
      <alignment horizontal="center" vertical="center"/>
    </xf>
    <xf numFmtId="0" fontId="22" fillId="0" borderId="4" xfId="0" quotePrefix="1" applyFont="1" applyBorder="1" applyAlignment="1">
      <alignment horizontal="center" vertical="center"/>
    </xf>
    <xf numFmtId="0" fontId="47" fillId="8" borderId="10" xfId="0" applyFont="1" applyFill="1" applyBorder="1" applyAlignment="1">
      <alignment horizontal="center" vertical="center" wrapText="1"/>
    </xf>
    <xf numFmtId="0" fontId="47" fillId="8" borderId="7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top"/>
    </xf>
    <xf numFmtId="0" fontId="14" fillId="0" borderId="4" xfId="0" quotePrefix="1" applyFont="1" applyBorder="1" applyAlignment="1">
      <alignment horizontal="center" vertical="top"/>
    </xf>
    <xf numFmtId="0" fontId="22" fillId="0" borderId="3" xfId="0" quotePrefix="1" applyFont="1" applyBorder="1" applyAlignment="1">
      <alignment horizontal="center" vertical="top"/>
    </xf>
    <xf numFmtId="0" fontId="22" fillId="0" borderId="4" xfId="0" quotePrefix="1" applyFont="1" applyBorder="1" applyAlignment="1">
      <alignment horizontal="center" vertical="top"/>
    </xf>
    <xf numFmtId="0" fontId="47" fillId="8" borderId="11" xfId="0" applyFont="1" applyFill="1" applyBorder="1" applyAlignment="1">
      <alignment horizontal="left" vertical="center" wrapText="1"/>
    </xf>
    <xf numFmtId="0" fontId="47" fillId="8" borderId="13" xfId="0" applyFont="1" applyFill="1" applyBorder="1" applyAlignment="1">
      <alignment horizontal="left" vertical="center" wrapText="1"/>
    </xf>
    <xf numFmtId="0" fontId="47" fillId="8" borderId="5" xfId="0" applyFont="1" applyFill="1" applyBorder="1" applyAlignment="1">
      <alignment horizontal="left" vertical="center" wrapText="1"/>
    </xf>
    <xf numFmtId="0" fontId="47" fillId="8" borderId="6" xfId="0" applyFont="1" applyFill="1" applyBorder="1" applyAlignment="1">
      <alignment horizontal="left" vertical="center" wrapText="1"/>
    </xf>
    <xf numFmtId="49" fontId="47" fillId="8" borderId="4" xfId="0" applyNumberFormat="1" applyFont="1" applyFill="1" applyBorder="1" applyAlignment="1">
      <alignment horizontal="left" vertical="center" wrapText="1" indent="4"/>
    </xf>
    <xf numFmtId="0" fontId="47" fillId="8" borderId="4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wrapText="1"/>
    </xf>
    <xf numFmtId="0" fontId="47" fillId="0" borderId="1" xfId="0" quotePrefix="1" applyFont="1" applyBorder="1" applyAlignment="1">
      <alignment horizontal="center" vertical="center" wrapText="1"/>
    </xf>
    <xf numFmtId="0" fontId="47" fillId="0" borderId="5" xfId="0" quotePrefix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left" vertical="center" wrapText="1"/>
    </xf>
    <xf numFmtId="0" fontId="47" fillId="0" borderId="7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/>
    </xf>
    <xf numFmtId="0" fontId="47" fillId="0" borderId="3" xfId="0" quotePrefix="1" applyFont="1" applyBorder="1" applyAlignment="1">
      <alignment horizontal="center" vertical="center"/>
    </xf>
    <xf numFmtId="0" fontId="47" fillId="0" borderId="4" xfId="0" quotePrefix="1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0" borderId="10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47" fillId="0" borderId="13" xfId="0" applyFont="1" applyBorder="1" applyAlignment="1">
      <alignment horizontal="left" vertical="center"/>
    </xf>
    <xf numFmtId="0" fontId="47" fillId="0" borderId="3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47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7" fillId="8" borderId="10" xfId="0" applyFont="1" applyFill="1" applyBorder="1" applyAlignment="1">
      <alignment horizontal="left" vertical="center" wrapText="1"/>
    </xf>
    <xf numFmtId="0" fontId="47" fillId="8" borderId="7" xfId="0" applyFont="1" applyFill="1" applyBorder="1" applyAlignment="1">
      <alignment horizontal="left" vertical="center" wrapText="1"/>
    </xf>
    <xf numFmtId="0" fontId="47" fillId="8" borderId="5" xfId="0" quotePrefix="1" applyFont="1" applyFill="1" applyBorder="1" applyAlignment="1">
      <alignment horizontal="center" vertical="center" wrapText="1"/>
    </xf>
    <xf numFmtId="0" fontId="47" fillId="8" borderId="6" xfId="0" quotePrefix="1" applyFont="1" applyFill="1" applyBorder="1" applyAlignment="1">
      <alignment horizontal="center" vertical="center" wrapText="1"/>
    </xf>
    <xf numFmtId="16" fontId="47" fillId="8" borderId="5" xfId="0" quotePrefix="1" applyNumberFormat="1" applyFont="1" applyFill="1" applyBorder="1" applyAlignment="1">
      <alignment horizontal="center" vertical="center" wrapText="1"/>
    </xf>
    <xf numFmtId="16" fontId="47" fillId="8" borderId="6" xfId="0" quotePrefix="1" applyNumberFormat="1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left" vertical="center" wrapText="1"/>
    </xf>
    <xf numFmtId="0" fontId="47" fillId="0" borderId="9" xfId="0" applyFont="1" applyBorder="1" applyAlignment="1">
      <alignment horizontal="left"/>
    </xf>
    <xf numFmtId="0" fontId="47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/>
    </xf>
    <xf numFmtId="0" fontId="47" fillId="0" borderId="5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7" fillId="12" borderId="5" xfId="0" applyFont="1" applyFill="1" applyBorder="1" applyAlignment="1">
      <alignment horizontal="left"/>
    </xf>
    <xf numFmtId="0" fontId="47" fillId="12" borderId="6" xfId="0" applyFont="1" applyFill="1" applyBorder="1" applyAlignment="1">
      <alignment horizontal="left"/>
    </xf>
    <xf numFmtId="0" fontId="47" fillId="0" borderId="11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8" borderId="9" xfId="0" applyFont="1" applyFill="1" applyBorder="1" applyAlignment="1">
      <alignment horizontal="left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47" fillId="8" borderId="5" xfId="0" applyFont="1" applyFill="1" applyBorder="1" applyAlignment="1">
      <alignment horizontal="center" vertical="center" wrapText="1"/>
    </xf>
    <xf numFmtId="0" fontId="47" fillId="8" borderId="6" xfId="0" applyFont="1" applyFill="1" applyBorder="1" applyAlignment="1">
      <alignment horizontal="center" vertical="center" wrapText="1"/>
    </xf>
    <xf numFmtId="0" fontId="47" fillId="8" borderId="8" xfId="0" applyFont="1" applyFill="1" applyBorder="1" applyAlignment="1">
      <alignment horizontal="left" vertical="center" wrapText="1" indent="4"/>
    </xf>
    <xf numFmtId="0" fontId="47" fillId="8" borderId="8" xfId="0" applyFont="1" applyFill="1" applyBorder="1" applyAlignment="1">
      <alignment horizontal="center" vertical="center" wrapText="1"/>
    </xf>
    <xf numFmtId="0" fontId="47" fillId="8" borderId="4" xfId="0" applyFont="1" applyFill="1" applyBorder="1" applyAlignment="1">
      <alignment horizontal="left" vertical="center" wrapText="1" indent="4"/>
    </xf>
    <xf numFmtId="0" fontId="46" fillId="0" borderId="1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6" borderId="5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87" fontId="1" fillId="6" borderId="5" xfId="2" applyFont="1" applyFill="1" applyBorder="1" applyAlignment="1">
      <alignment horizontal="center"/>
    </xf>
    <xf numFmtId="187" fontId="1" fillId="6" borderId="6" xfId="2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4" fillId="7" borderId="5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187" fontId="45" fillId="6" borderId="3" xfId="2" applyFont="1" applyFill="1" applyBorder="1" applyAlignment="1">
      <alignment horizontal="center" vertical="center" wrapText="1"/>
    </xf>
    <xf numFmtId="187" fontId="45" fillId="6" borderId="4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1" fillId="7" borderId="5" xfId="0" quotePrefix="1" applyFont="1" applyFill="1" applyBorder="1" applyAlignment="1">
      <alignment horizontal="center" vertical="center" wrapText="1"/>
    </xf>
    <xf numFmtId="0" fontId="1" fillId="7" borderId="6" xfId="0" quotePrefix="1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9" borderId="5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5" xfId="0" quotePrefix="1" applyFont="1" applyFill="1" applyBorder="1" applyAlignment="1">
      <alignment horizontal="center" vertical="center" wrapText="1"/>
    </xf>
    <xf numFmtId="0" fontId="1" fillId="9" borderId="6" xfId="0" quotePrefix="1" applyFont="1" applyFill="1" applyBorder="1" applyAlignment="1">
      <alignment horizontal="center" vertical="center" wrapText="1"/>
    </xf>
    <xf numFmtId="0" fontId="1" fillId="7" borderId="9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36" fillId="6" borderId="5" xfId="0" applyFont="1" applyFill="1" applyBorder="1" applyAlignment="1">
      <alignment horizontal="right"/>
    </xf>
    <xf numFmtId="0" fontId="36" fillId="6" borderId="9" xfId="0" applyFont="1" applyFill="1" applyBorder="1" applyAlignment="1">
      <alignment horizontal="right"/>
    </xf>
    <xf numFmtId="0" fontId="36" fillId="6" borderId="6" xfId="0" applyFont="1" applyFill="1" applyBorder="1" applyAlignment="1">
      <alignment horizontal="right"/>
    </xf>
    <xf numFmtId="0" fontId="19" fillId="5" borderId="10" xfId="1" applyFont="1" applyFill="1" applyBorder="1" applyAlignment="1">
      <alignment horizontal="center" vertical="center" wrapText="1"/>
    </xf>
    <xf numFmtId="0" fontId="19" fillId="5" borderId="7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9" fillId="5" borderId="16" xfId="1" applyFont="1" applyFill="1" applyBorder="1" applyAlignment="1">
      <alignment horizontal="center"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19" fillId="5" borderId="13" xfId="1" applyFont="1" applyFill="1" applyBorder="1" applyAlignment="1">
      <alignment horizontal="center" vertical="center" wrapText="1"/>
    </xf>
    <xf numFmtId="0" fontId="35" fillId="5" borderId="3" xfId="1" applyFont="1" applyFill="1" applyBorder="1" applyAlignment="1">
      <alignment horizontal="center" vertical="center" wrapText="1"/>
    </xf>
    <xf numFmtId="0" fontId="35" fillId="5" borderId="8" xfId="1" applyFont="1" applyFill="1" applyBorder="1" applyAlignment="1">
      <alignment horizontal="center" vertical="center" wrapText="1"/>
    </xf>
    <xf numFmtId="0" fontId="35" fillId="5" borderId="4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9" fillId="4" borderId="31" xfId="1" applyFont="1" applyFill="1" applyBorder="1" applyAlignment="1">
      <alignment horizontal="center" vertical="center"/>
    </xf>
    <xf numFmtId="0" fontId="19" fillId="4" borderId="9" xfId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center" vertical="center" wrapText="1"/>
    </xf>
    <xf numFmtId="0" fontId="19" fillId="4" borderId="37" xfId="1" applyFont="1" applyFill="1" applyBorder="1" applyAlignment="1">
      <alignment horizontal="center" vertical="center" wrapText="1"/>
    </xf>
    <xf numFmtId="0" fontId="19" fillId="4" borderId="16" xfId="1" applyFont="1" applyFill="1" applyBorder="1" applyAlignment="1">
      <alignment horizontal="center" vertical="center" wrapText="1"/>
    </xf>
    <xf numFmtId="0" fontId="19" fillId="4" borderId="20" xfId="1" applyFont="1" applyFill="1" applyBorder="1" applyAlignment="1">
      <alignment horizontal="center" vertical="center" wrapText="1"/>
    </xf>
    <xf numFmtId="0" fontId="19" fillId="4" borderId="13" xfId="1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/>
    </xf>
    <xf numFmtId="0" fontId="19" fillId="4" borderId="8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right" vertical="center"/>
    </xf>
    <xf numFmtId="0" fontId="4" fillId="6" borderId="9" xfId="0" applyFont="1" applyFill="1" applyBorder="1" applyAlignment="1">
      <alignment horizontal="right" vertical="center"/>
    </xf>
    <xf numFmtId="0" fontId="4" fillId="6" borderId="6" xfId="0" applyFont="1" applyFill="1" applyBorder="1" applyAlignment="1">
      <alignment horizontal="right" vertical="center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left"/>
    </xf>
    <xf numFmtId="0" fontId="17" fillId="0" borderId="9" xfId="1" applyFont="1" applyBorder="1" applyAlignment="1">
      <alignment horizontal="left"/>
    </xf>
    <xf numFmtId="0" fontId="17" fillId="0" borderId="6" xfId="1" applyFont="1" applyBorder="1" applyAlignment="1">
      <alignment horizontal="left"/>
    </xf>
    <xf numFmtId="0" fontId="4" fillId="6" borderId="32" xfId="0" applyFont="1" applyFill="1" applyBorder="1" applyAlignment="1">
      <alignment horizontal="right" vertical="center"/>
    </xf>
    <xf numFmtId="0" fontId="37" fillId="7" borderId="3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55" fillId="8" borderId="21" xfId="1" applyFont="1" applyFill="1" applyBorder="1" applyAlignment="1">
      <alignment horizontal="center" vertical="center" wrapText="1"/>
    </xf>
    <xf numFmtId="0" fontId="55" fillId="8" borderId="22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9" fillId="4" borderId="32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9" fillId="5" borderId="24" xfId="1" applyFont="1" applyFill="1" applyBorder="1" applyAlignment="1">
      <alignment horizontal="center" vertical="center" wrapText="1"/>
    </xf>
    <xf numFmtId="0" fontId="19" fillId="5" borderId="27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center" vertical="center" wrapText="1"/>
    </xf>
    <xf numFmtId="0" fontId="44" fillId="6" borderId="8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right"/>
    </xf>
    <xf numFmtId="0" fontId="9" fillId="6" borderId="9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/>
    </xf>
    <xf numFmtId="0" fontId="1" fillId="7" borderId="5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9" fillId="5" borderId="18" xfId="1" applyFont="1" applyFill="1" applyBorder="1" applyAlignment="1">
      <alignment horizontal="center" vertical="center" wrapText="1"/>
    </xf>
    <xf numFmtId="0" fontId="19" fillId="5" borderId="19" xfId="1" applyFont="1" applyFill="1" applyBorder="1" applyAlignment="1">
      <alignment horizontal="center" vertical="center" wrapText="1"/>
    </xf>
    <xf numFmtId="0" fontId="19" fillId="5" borderId="37" xfId="1" applyFont="1" applyFill="1" applyBorder="1" applyAlignment="1">
      <alignment horizontal="center" vertical="center" wrapText="1"/>
    </xf>
    <xf numFmtId="0" fontId="19" fillId="5" borderId="38" xfId="1" applyFont="1" applyFill="1" applyBorder="1" applyAlignment="1">
      <alignment horizontal="center" vertical="center" wrapText="1"/>
    </xf>
    <xf numFmtId="0" fontId="19" fillId="5" borderId="20" xfId="1" applyFont="1" applyFill="1" applyBorder="1" applyAlignment="1">
      <alignment horizontal="center" vertical="center" wrapText="1"/>
    </xf>
    <xf numFmtId="0" fontId="19" fillId="5" borderId="23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9" fillId="4" borderId="10" xfId="1" applyFont="1" applyFill="1" applyBorder="1" applyAlignment="1">
      <alignment horizontal="center" vertical="center" wrapText="1"/>
    </xf>
    <xf numFmtId="0" fontId="19" fillId="4" borderId="15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 vertical="center" wrapText="1"/>
    </xf>
    <xf numFmtId="0" fontId="19" fillId="4" borderId="24" xfId="1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19" fillId="4" borderId="33" xfId="1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/>
    </xf>
    <xf numFmtId="0" fontId="1" fillId="9" borderId="9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49" fontId="1" fillId="0" borderId="12" xfId="0" applyNumberFormat="1" applyFont="1" applyBorder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CC"/>
      <color rgb="FFFFDDE0"/>
      <color rgb="FFC3F12F"/>
      <color rgb="FFCCFFFF"/>
      <color rgb="FF0000FF"/>
      <color rgb="FFFEDEDE"/>
      <color rgb="FFFEF8F4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oH/Dropbox/&#3591;&#3634;&#3609;&#3626;&#3635;&#3609;&#3633;&#3585;&#3623;&#3636;&#3594;&#3634;&#3585;&#3634;&#3619;&#3649;&#3621;&#3632;&#3623;&#3636;&#3592;&#3633;&#3618;%20(&#3629;.&#3611;&#3641;)/&#3616;&#3634;&#3619;&#3632;&#3591;&#3634;&#3609;/&#3649;&#3610;&#3610;&#3615;&#3629;&#3619;&#3660;&#3617;&#3616;&#3634;&#3619;&#3632;&#3591;&#3634;&#3609;/WorkLoad_form2023_thai-12-10-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การนับภารกิจ"/>
      <sheetName val="ภาคการศึกษาที่ 1"/>
      <sheetName val="ภาคการศึกษาที่ 2"/>
      <sheetName val="สรุปปีการศึกษา"/>
    </sheetNames>
    <sheetDataSet>
      <sheetData sheetId="0">
        <row r="1">
          <cell r="D1" t="str">
            <v>ศาสตราจารย์</v>
          </cell>
        </row>
        <row r="2">
          <cell r="D2" t="str">
            <v>รองศาสตราจารย์</v>
          </cell>
          <cell r="J2" t="str">
            <v>หนังสือ</v>
          </cell>
          <cell r="L2" t="str">
            <v>เอกสารประกอบการสอน</v>
          </cell>
        </row>
        <row r="3">
          <cell r="D3" t="str">
            <v>ผู้ช่วยศาสตราจารย์</v>
          </cell>
          <cell r="J3" t="str">
            <v>ตำรา</v>
          </cell>
          <cell r="L3" t="str">
            <v>การผลิตนวัตกรรม</v>
          </cell>
        </row>
        <row r="4">
          <cell r="D4" t="str">
            <v>อาจารย์</v>
          </cell>
          <cell r="J4" t="str">
            <v>งานแปล</v>
          </cell>
          <cell r="L4" t="str">
            <v>สื่อการสอน</v>
          </cell>
        </row>
        <row r="5">
          <cell r="J5" t="str">
            <v>Software</v>
          </cell>
          <cell r="L5" t="str">
            <v>ชุดการสอน</v>
          </cell>
        </row>
        <row r="6">
          <cell r="J6" t="str">
            <v>ผลงานสร้างสรรค์ด้านวิทยาศาสตร์</v>
          </cell>
          <cell r="L6" t="str">
            <v>สิ่งประดิษฐ์</v>
          </cell>
        </row>
        <row r="7">
          <cell r="J7" t="str">
            <v>ผลงานสร้างสรรค์ด้านสุนทรียะ</v>
          </cell>
          <cell r="L7" t="str">
            <v>ผลงานอื่นในลักษณะเดียวกัน</v>
          </cell>
        </row>
        <row r="8">
          <cell r="J8" t="str">
            <v>ผลงานวิชาการเพื่อพัฒนานโยบายสาธารณะ</v>
          </cell>
        </row>
        <row r="9">
          <cell r="J9" t="str">
            <v>ผลงานวิชาการรับใช้สังคม</v>
          </cell>
        </row>
        <row r="10">
          <cell r="J10" t="str">
            <v>อื่น ๆ</v>
          </cell>
        </row>
      </sheetData>
      <sheetData sheetId="1"/>
      <sheetData sheetId="2">
        <row r="121">
          <cell r="BC121" t="str">
            <v xml:space="preserve">หัวหน้า/ผู้รับผิดชอบหลัก/เลขานุการ โครงการบริการวิชาการ </v>
          </cell>
        </row>
        <row r="122">
          <cell r="BC122" t="str">
            <v>ผู้รับผิดชอบร่วม/คณะทำงานโครงการบริการวิชาการ</v>
          </cell>
        </row>
        <row r="123">
          <cell r="BC123" t="str">
            <v>เป็นกรรมการสอบโครงร่างการค้นคว้าอิสระ/วิทยานิพนธ์ภายนอก</v>
          </cell>
        </row>
        <row r="124">
          <cell r="BC124" t="str">
            <v>เป็นกรรมการสอบการค้นคว้าอิสระ/วิทยานิพนธ์ภายนอก</v>
          </cell>
        </row>
        <row r="125">
          <cell r="BC125" t="str">
            <v>เป็นกรรมการสอบโครงร่างดุษฎีนิพนธ์ภายนอก</v>
          </cell>
        </row>
        <row r="126">
          <cell r="BC126" t="str">
            <v>เป็นกรรมการสอบดุษฎีนิพนธ์ภายนอก</v>
          </cell>
        </row>
        <row r="127">
          <cell r="BC127" t="str">
            <v>เป็นผู้ทรงคุณวุฒิ ที่ปรึกษา กรรมการวิชาการ และ/หรือ กรรมการวิชาชีพภายนอก</v>
          </cell>
        </row>
        <row r="128">
          <cell r="BC128" t="str">
            <v>เป็นกรรมการผู้ทรงคุณวุฒิเพื่อพิจารณาแต่งตั้งบุคคลให้ดำรงตำแหน่งทางวิชาการ</v>
          </cell>
        </row>
        <row r="129">
          <cell r="BC129" t="str">
            <v xml:space="preserve">เป็นผู้ทรงคุณวุฒิพิจารณาผลงานวิจัย/งานสร้างสรรค์/บทความวิชาการ </v>
          </cell>
        </row>
        <row r="130">
          <cell r="BC130" t="str">
            <v>เป็นวิทยากรภายในสถาบัน</v>
          </cell>
        </row>
        <row r="131">
          <cell r="BC131" t="str">
            <v>เป็นวิทยากรภายนอกสถาบัน</v>
          </cell>
        </row>
        <row r="132">
          <cell r="BC132" t="str">
            <v>งานบริการวิชาการอื่น ๆ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zoomScale="130" zoomScaleNormal="130" workbookViewId="0">
      <selection activeCell="B12" sqref="B12"/>
    </sheetView>
  </sheetViews>
  <sheetFormatPr defaultRowHeight="14.25"/>
  <cols>
    <col min="2" max="2" width="45.75" customWidth="1"/>
    <col min="10" max="10" width="36.875" bestFit="1" customWidth="1"/>
    <col min="11" max="11" width="5.25" customWidth="1"/>
    <col min="12" max="12" width="39.375" customWidth="1"/>
    <col min="14" max="14" width="16.375" bestFit="1" customWidth="1"/>
    <col min="16" max="16" width="19.625" customWidth="1"/>
  </cols>
  <sheetData>
    <row r="1" spans="2:16" ht="14.45" customHeight="1">
      <c r="D1" t="s">
        <v>94</v>
      </c>
      <c r="J1" t="s">
        <v>136</v>
      </c>
      <c r="L1" t="s">
        <v>138</v>
      </c>
      <c r="M1" s="40" t="s">
        <v>152</v>
      </c>
      <c r="N1" s="41" t="s">
        <v>145</v>
      </c>
      <c r="P1" t="s">
        <v>148</v>
      </c>
    </row>
    <row r="2" spans="2:16">
      <c r="B2" t="s">
        <v>64</v>
      </c>
      <c r="D2" t="s">
        <v>93</v>
      </c>
      <c r="J2" t="s">
        <v>129</v>
      </c>
      <c r="L2" t="s">
        <v>139</v>
      </c>
      <c r="N2" t="s">
        <v>146</v>
      </c>
      <c r="P2" t="s">
        <v>149</v>
      </c>
    </row>
    <row r="3" spans="2:16">
      <c r="B3" t="s">
        <v>65</v>
      </c>
      <c r="D3" t="s">
        <v>92</v>
      </c>
      <c r="J3" t="s">
        <v>115</v>
      </c>
      <c r="L3" t="s">
        <v>140</v>
      </c>
      <c r="N3" t="s">
        <v>147</v>
      </c>
      <c r="P3" t="s">
        <v>150</v>
      </c>
    </row>
    <row r="4" spans="2:16">
      <c r="B4" t="s">
        <v>66</v>
      </c>
      <c r="D4" t="s">
        <v>91</v>
      </c>
      <c r="J4" t="s">
        <v>130</v>
      </c>
      <c r="L4" t="s">
        <v>141</v>
      </c>
      <c r="P4" t="s">
        <v>151</v>
      </c>
    </row>
    <row r="5" spans="2:16">
      <c r="B5" t="s">
        <v>277</v>
      </c>
      <c r="J5" t="s">
        <v>131</v>
      </c>
      <c r="L5" t="s">
        <v>142</v>
      </c>
    </row>
    <row r="6" spans="2:16">
      <c r="B6" t="s">
        <v>127</v>
      </c>
      <c r="J6" t="s">
        <v>132</v>
      </c>
      <c r="L6" t="s">
        <v>143</v>
      </c>
    </row>
    <row r="7" spans="2:16">
      <c r="B7" t="s">
        <v>278</v>
      </c>
      <c r="J7" t="s">
        <v>133</v>
      </c>
      <c r="L7" t="s">
        <v>144</v>
      </c>
    </row>
    <row r="8" spans="2:16">
      <c r="B8" t="s">
        <v>279</v>
      </c>
      <c r="J8" t="s">
        <v>134</v>
      </c>
    </row>
    <row r="9" spans="2:16">
      <c r="B9" t="s">
        <v>67</v>
      </c>
      <c r="J9" t="s">
        <v>135</v>
      </c>
    </row>
    <row r="10" spans="2:16">
      <c r="B10" t="s">
        <v>68</v>
      </c>
      <c r="J10" t="s">
        <v>153</v>
      </c>
    </row>
    <row r="11" spans="2:16">
      <c r="B11" t="s">
        <v>69</v>
      </c>
    </row>
    <row r="12" spans="2:16">
      <c r="B12" s="8" t="s">
        <v>282</v>
      </c>
    </row>
    <row r="13" spans="2:16">
      <c r="B13" s="8"/>
    </row>
    <row r="14" spans="2:16">
      <c r="B14" t="s">
        <v>117</v>
      </c>
    </row>
    <row r="15" spans="2:16">
      <c r="B15" t="s">
        <v>88</v>
      </c>
    </row>
    <row r="18" spans="2:2">
      <c r="B18" s="8" t="s">
        <v>281</v>
      </c>
    </row>
    <row r="19" spans="2:2">
      <c r="B19" s="8" t="s">
        <v>280</v>
      </c>
    </row>
    <row r="20" spans="2:2">
      <c r="B20" t="s">
        <v>70</v>
      </c>
    </row>
    <row r="23" spans="2:2">
      <c r="B23" t="s">
        <v>18</v>
      </c>
    </row>
    <row r="24" spans="2:2">
      <c r="B24" t="s">
        <v>55</v>
      </c>
    </row>
    <row r="25" spans="2:2">
      <c r="B25" t="s">
        <v>19</v>
      </c>
    </row>
    <row r="26" spans="2:2">
      <c r="B26" t="s">
        <v>20</v>
      </c>
    </row>
    <row r="27" spans="2:2">
      <c r="B27" t="s">
        <v>56</v>
      </c>
    </row>
    <row r="28" spans="2:2">
      <c r="B28" t="s">
        <v>57</v>
      </c>
    </row>
    <row r="29" spans="2:2">
      <c r="B29" t="s">
        <v>58</v>
      </c>
    </row>
    <row r="30" spans="2:2">
      <c r="B30" t="s">
        <v>59</v>
      </c>
    </row>
    <row r="31" spans="2:2">
      <c r="B31" t="s">
        <v>60</v>
      </c>
    </row>
    <row r="32" spans="2:2">
      <c r="B32" t="s">
        <v>275</v>
      </c>
    </row>
    <row r="33" spans="2:2">
      <c r="B33" t="s">
        <v>71</v>
      </c>
    </row>
    <row r="34" spans="2:2">
      <c r="B34" t="s">
        <v>72</v>
      </c>
    </row>
    <row r="35" spans="2:2">
      <c r="B35" t="s">
        <v>73</v>
      </c>
    </row>
    <row r="36" spans="2:2">
      <c r="B36" t="s">
        <v>74</v>
      </c>
    </row>
    <row r="37" spans="2:2">
      <c r="B37" t="s">
        <v>75</v>
      </c>
    </row>
    <row r="38" spans="2:2">
      <c r="B38" t="s">
        <v>76</v>
      </c>
    </row>
    <row r="39" spans="2:2">
      <c r="B39" t="s">
        <v>87</v>
      </c>
    </row>
    <row r="40" spans="2:2">
      <c r="B40" t="s">
        <v>77</v>
      </c>
    </row>
    <row r="41" spans="2:2">
      <c r="B41" t="s">
        <v>78</v>
      </c>
    </row>
    <row r="42" spans="2:2">
      <c r="B42" t="s">
        <v>79</v>
      </c>
    </row>
    <row r="43" spans="2:2">
      <c r="B43" t="s">
        <v>80</v>
      </c>
    </row>
    <row r="44" spans="2:2">
      <c r="B44" t="s">
        <v>81</v>
      </c>
    </row>
    <row r="45" spans="2:2">
      <c r="B45" t="s">
        <v>82</v>
      </c>
    </row>
    <row r="46" spans="2:2">
      <c r="B46" t="s">
        <v>83</v>
      </c>
    </row>
    <row r="47" spans="2:2">
      <c r="B47" t="s">
        <v>61</v>
      </c>
    </row>
    <row r="48" spans="2:2">
      <c r="B48" t="s">
        <v>84</v>
      </c>
    </row>
    <row r="49" spans="2:2">
      <c r="B49" t="s">
        <v>85</v>
      </c>
    </row>
    <row r="50" spans="2:2">
      <c r="B50" t="s">
        <v>276</v>
      </c>
    </row>
    <row r="51" spans="2:2">
      <c r="B51" t="s">
        <v>63</v>
      </c>
    </row>
    <row r="52" spans="2:2">
      <c r="B52" t="s">
        <v>62</v>
      </c>
    </row>
    <row r="53" spans="2:2">
      <c r="B53" t="s">
        <v>86</v>
      </c>
    </row>
    <row r="55" spans="2:2">
      <c r="B55" t="s">
        <v>89</v>
      </c>
    </row>
    <row r="56" spans="2:2">
      <c r="B56" t="s">
        <v>0</v>
      </c>
    </row>
    <row r="58" spans="2:2">
      <c r="B58" t="s">
        <v>91</v>
      </c>
    </row>
    <row r="59" spans="2:2">
      <c r="B59" t="s">
        <v>92</v>
      </c>
    </row>
    <row r="60" spans="2:2">
      <c r="B60" t="s">
        <v>93</v>
      </c>
    </row>
    <row r="61" spans="2:2">
      <c r="B61" t="s">
        <v>94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13"/>
  <sheetViews>
    <sheetView topLeftCell="A16" zoomScale="110" zoomScaleNormal="110" workbookViewId="0">
      <selection activeCell="AA17" sqref="AA17"/>
    </sheetView>
  </sheetViews>
  <sheetFormatPr defaultColWidth="9" defaultRowHeight="14.25"/>
  <cols>
    <col min="1" max="3" width="5.125" style="62" customWidth="1"/>
    <col min="4" max="4" width="39.375" style="62" customWidth="1"/>
    <col min="5" max="5" width="17.125" style="62" customWidth="1"/>
    <col min="6" max="6" width="20" style="62" bestFit="1" customWidth="1"/>
    <col min="7" max="7" width="61.125" style="62" customWidth="1"/>
    <col min="8" max="9" width="9" style="62"/>
    <col min="10" max="10" width="9" style="62" hidden="1" customWidth="1"/>
    <col min="11" max="11" width="0.25" style="62" hidden="1" customWidth="1"/>
    <col min="12" max="12" width="7.75" style="62" hidden="1" customWidth="1"/>
    <col min="13" max="13" width="40.375" style="62" hidden="1" customWidth="1"/>
    <col min="14" max="16" width="0.25" style="62" hidden="1" customWidth="1"/>
    <col min="17" max="17" width="4.375" style="62" hidden="1" customWidth="1"/>
    <col min="18" max="18" width="73.375" style="62" hidden="1" customWidth="1"/>
    <col min="19" max="25" width="0.25" customWidth="1"/>
    <col min="26" max="26" width="0.25" style="62" customWidth="1"/>
    <col min="27" max="27" width="9" style="62" customWidth="1"/>
    <col min="28" max="16384" width="9" style="62"/>
  </cols>
  <sheetData>
    <row r="2" spans="1:18">
      <c r="A2" s="391" t="s">
        <v>339</v>
      </c>
      <c r="B2" s="391"/>
      <c r="C2" s="391"/>
      <c r="D2" s="391"/>
      <c r="E2" s="391"/>
      <c r="F2" s="391"/>
      <c r="G2" s="391"/>
      <c r="H2" s="391"/>
    </row>
    <row r="3" spans="1:18">
      <c r="A3" s="95" t="s">
        <v>23</v>
      </c>
    </row>
    <row r="4" spans="1:18" s="63" customFormat="1" ht="12.75">
      <c r="B4" s="63" t="s">
        <v>155</v>
      </c>
      <c r="L4" s="63" t="s">
        <v>1</v>
      </c>
      <c r="M4" s="63" t="s">
        <v>307</v>
      </c>
      <c r="Q4" s="63" t="s">
        <v>311</v>
      </c>
      <c r="R4" s="63" t="s">
        <v>64</v>
      </c>
    </row>
    <row r="5" spans="1:18" s="63" customFormat="1" ht="12.75">
      <c r="B5" s="63" t="s">
        <v>97</v>
      </c>
      <c r="M5" s="63" t="s">
        <v>55</v>
      </c>
      <c r="R5" s="63" t="s">
        <v>65</v>
      </c>
    </row>
    <row r="6" spans="1:18">
      <c r="C6" s="383" t="s">
        <v>2</v>
      </c>
      <c r="D6" s="385" t="s">
        <v>22</v>
      </c>
      <c r="E6" s="386"/>
      <c r="F6" s="389" t="s">
        <v>3</v>
      </c>
      <c r="G6" s="64" t="s">
        <v>189</v>
      </c>
      <c r="M6" s="62" t="s">
        <v>19</v>
      </c>
      <c r="R6" s="62" t="s">
        <v>66</v>
      </c>
    </row>
    <row r="7" spans="1:18">
      <c r="C7" s="384"/>
      <c r="D7" s="387"/>
      <c r="E7" s="388"/>
      <c r="F7" s="390"/>
      <c r="G7" s="64" t="s">
        <v>156</v>
      </c>
      <c r="M7" s="62" t="s">
        <v>555</v>
      </c>
      <c r="R7" s="62" t="s">
        <v>277</v>
      </c>
    </row>
    <row r="8" spans="1:18">
      <c r="C8" s="355">
        <v>1</v>
      </c>
      <c r="D8" s="373" t="s">
        <v>98</v>
      </c>
      <c r="E8" s="375"/>
      <c r="F8" s="65" t="s">
        <v>25</v>
      </c>
      <c r="G8" s="66" t="s">
        <v>287</v>
      </c>
      <c r="M8" s="62" t="s">
        <v>556</v>
      </c>
      <c r="R8" s="62" t="s">
        <v>127</v>
      </c>
    </row>
    <row r="9" spans="1:18" ht="89.25">
      <c r="C9" s="356"/>
      <c r="D9" s="392"/>
      <c r="E9" s="393"/>
      <c r="F9" s="65" t="s">
        <v>26</v>
      </c>
      <c r="G9" s="159" t="s">
        <v>340</v>
      </c>
      <c r="M9" s="63" t="s">
        <v>557</v>
      </c>
      <c r="R9" s="62" t="s">
        <v>278</v>
      </c>
    </row>
    <row r="10" spans="1:18">
      <c r="C10" s="66">
        <v>2</v>
      </c>
      <c r="D10" s="343" t="s">
        <v>157</v>
      </c>
      <c r="E10" s="344"/>
      <c r="F10" s="66"/>
      <c r="G10" s="66" t="s">
        <v>288</v>
      </c>
      <c r="M10" s="62" t="s">
        <v>275</v>
      </c>
      <c r="R10" s="62" t="s">
        <v>67</v>
      </c>
    </row>
    <row r="11" spans="1:18">
      <c r="C11" s="67"/>
      <c r="D11" s="68"/>
      <c r="E11" s="68"/>
      <c r="F11" s="67"/>
      <c r="G11" s="67"/>
      <c r="M11" s="62" t="s">
        <v>308</v>
      </c>
      <c r="R11" s="62" t="s">
        <v>68</v>
      </c>
    </row>
    <row r="12" spans="1:18" s="63" customFormat="1">
      <c r="B12" s="63" t="s">
        <v>96</v>
      </c>
      <c r="E12" s="68"/>
      <c r="F12" s="67"/>
      <c r="G12" s="67"/>
      <c r="M12" s="62" t="s">
        <v>71</v>
      </c>
      <c r="R12" s="63" t="s">
        <v>69</v>
      </c>
    </row>
    <row r="13" spans="1:18">
      <c r="C13" s="383" t="s">
        <v>2</v>
      </c>
      <c r="D13" s="385" t="s">
        <v>22</v>
      </c>
      <c r="E13" s="386"/>
      <c r="F13" s="389" t="s">
        <v>3</v>
      </c>
      <c r="G13" s="64" t="s">
        <v>189</v>
      </c>
      <c r="M13" s="62" t="s">
        <v>72</v>
      </c>
      <c r="R13" s="62" t="s">
        <v>313</v>
      </c>
    </row>
    <row r="14" spans="1:18">
      <c r="C14" s="384"/>
      <c r="D14" s="387"/>
      <c r="E14" s="388"/>
      <c r="F14" s="390"/>
      <c r="G14" s="64" t="s">
        <v>156</v>
      </c>
      <c r="M14" s="62" t="s">
        <v>73</v>
      </c>
      <c r="R14" s="62" t="s">
        <v>312</v>
      </c>
    </row>
    <row r="15" spans="1:18">
      <c r="C15" s="256">
        <v>1</v>
      </c>
      <c r="D15" s="257" t="s">
        <v>128</v>
      </c>
      <c r="E15" s="69"/>
      <c r="F15" s="250"/>
      <c r="G15" s="63"/>
      <c r="M15" s="62" t="s">
        <v>74</v>
      </c>
    </row>
    <row r="16" spans="1:18">
      <c r="C16" s="70"/>
      <c r="D16" s="257" t="s">
        <v>159</v>
      </c>
      <c r="E16" s="69"/>
      <c r="F16" s="250"/>
      <c r="G16" s="238" t="s">
        <v>164</v>
      </c>
      <c r="M16" s="62" t="s">
        <v>309</v>
      </c>
    </row>
    <row r="17" spans="1:18">
      <c r="A17" s="62" t="s">
        <v>175</v>
      </c>
      <c r="C17" s="70"/>
      <c r="D17" s="257" t="s">
        <v>160</v>
      </c>
      <c r="E17" s="69"/>
      <c r="F17" s="250"/>
      <c r="G17" s="238" t="s">
        <v>165</v>
      </c>
      <c r="M17" s="62" t="s">
        <v>76</v>
      </c>
      <c r="R17" s="62" t="s">
        <v>315</v>
      </c>
    </row>
    <row r="18" spans="1:18">
      <c r="C18" s="66">
        <v>2</v>
      </c>
      <c r="D18" s="242" t="s">
        <v>295</v>
      </c>
      <c r="E18" s="71"/>
      <c r="F18" s="71"/>
      <c r="G18" s="72"/>
      <c r="M18" s="62" t="s">
        <v>87</v>
      </c>
      <c r="R18" s="62" t="s">
        <v>316</v>
      </c>
    </row>
    <row r="19" spans="1:18">
      <c r="C19" s="355"/>
      <c r="D19" s="373" t="s">
        <v>159</v>
      </c>
      <c r="E19" s="375"/>
      <c r="F19" s="65" t="s">
        <v>25</v>
      </c>
      <c r="G19" s="66" t="s">
        <v>287</v>
      </c>
      <c r="M19" s="62" t="s">
        <v>77</v>
      </c>
      <c r="R19" s="62" t="s">
        <v>317</v>
      </c>
    </row>
    <row r="20" spans="1:18" ht="93.75" customHeight="1">
      <c r="C20" s="356"/>
      <c r="D20" s="374"/>
      <c r="E20" s="376"/>
      <c r="F20" s="65" t="s">
        <v>26</v>
      </c>
      <c r="G20" s="159" t="s">
        <v>341</v>
      </c>
      <c r="M20" s="62" t="s">
        <v>78</v>
      </c>
      <c r="R20" s="62" t="s">
        <v>318</v>
      </c>
    </row>
    <row r="21" spans="1:18">
      <c r="C21" s="357"/>
      <c r="D21" s="343" t="s">
        <v>158</v>
      </c>
      <c r="E21" s="344"/>
      <c r="F21" s="66"/>
      <c r="G21" s="66" t="s">
        <v>288</v>
      </c>
      <c r="M21" s="62" t="s">
        <v>79</v>
      </c>
    </row>
    <row r="22" spans="1:18">
      <c r="C22" s="66">
        <v>3</v>
      </c>
      <c r="D22" s="73" t="s">
        <v>161</v>
      </c>
      <c r="E22" s="394"/>
      <c r="F22" s="394"/>
      <c r="G22" s="395"/>
      <c r="M22" s="62" t="s">
        <v>80</v>
      </c>
    </row>
    <row r="23" spans="1:18" ht="35.25" customHeight="1">
      <c r="C23" s="363"/>
      <c r="D23" s="343" t="s">
        <v>162</v>
      </c>
      <c r="E23" s="344"/>
      <c r="F23" s="66"/>
      <c r="G23" s="94" t="s">
        <v>292</v>
      </c>
      <c r="M23" s="62" t="s">
        <v>310</v>
      </c>
    </row>
    <row r="24" spans="1:18" ht="35.25" customHeight="1">
      <c r="C24" s="364"/>
      <c r="D24" s="343" t="s">
        <v>163</v>
      </c>
      <c r="E24" s="344"/>
      <c r="F24" s="66"/>
      <c r="G24" s="94" t="s">
        <v>293</v>
      </c>
      <c r="M24" s="62" t="s">
        <v>82</v>
      </c>
    </row>
    <row r="25" spans="1:18">
      <c r="C25" s="66">
        <v>4</v>
      </c>
      <c r="D25" s="73" t="s">
        <v>166</v>
      </c>
      <c r="E25" s="74"/>
      <c r="F25" s="74"/>
      <c r="G25" s="75"/>
      <c r="M25" s="62" t="s">
        <v>61</v>
      </c>
    </row>
    <row r="26" spans="1:18">
      <c r="C26" s="363"/>
      <c r="D26" s="343" t="s">
        <v>167</v>
      </c>
      <c r="E26" s="344"/>
      <c r="F26" s="66"/>
      <c r="G26" s="235" t="s">
        <v>283</v>
      </c>
      <c r="M26" s="62" t="s">
        <v>84</v>
      </c>
    </row>
    <row r="27" spans="1:18">
      <c r="C27" s="382"/>
      <c r="D27" s="343" t="s">
        <v>168</v>
      </c>
      <c r="E27" s="344"/>
      <c r="F27" s="66"/>
      <c r="G27" s="235" t="s">
        <v>169</v>
      </c>
      <c r="M27" s="62" t="s">
        <v>276</v>
      </c>
    </row>
    <row r="28" spans="1:18">
      <c r="C28" s="364"/>
      <c r="D28" s="160" t="s">
        <v>342</v>
      </c>
      <c r="E28" s="255"/>
      <c r="F28" s="258"/>
      <c r="G28" s="240"/>
    </row>
    <row r="29" spans="1:18">
      <c r="C29" s="66">
        <v>5</v>
      </c>
      <c r="D29" s="343" t="s">
        <v>172</v>
      </c>
      <c r="E29" s="381"/>
      <c r="F29" s="381"/>
      <c r="G29" s="75"/>
      <c r="M29" s="62" t="s">
        <v>62</v>
      </c>
    </row>
    <row r="30" spans="1:18">
      <c r="C30" s="363"/>
      <c r="D30" s="343" t="s">
        <v>173</v>
      </c>
      <c r="E30" s="344"/>
      <c r="F30" s="66"/>
      <c r="G30" s="76" t="s">
        <v>294</v>
      </c>
      <c r="M30" s="62" t="s">
        <v>86</v>
      </c>
    </row>
    <row r="31" spans="1:18">
      <c r="C31" s="382"/>
      <c r="D31" s="343" t="s">
        <v>174</v>
      </c>
      <c r="E31" s="381"/>
      <c r="F31" s="381"/>
      <c r="G31" s="381"/>
      <c r="M31" s="62" t="s">
        <v>314</v>
      </c>
    </row>
    <row r="32" spans="1:18">
      <c r="C32" s="382"/>
      <c r="D32" s="343" t="s">
        <v>171</v>
      </c>
      <c r="E32" s="344"/>
      <c r="F32" s="66"/>
      <c r="G32" s="235" t="s">
        <v>343</v>
      </c>
    </row>
    <row r="33" spans="2:7">
      <c r="C33" s="382"/>
      <c r="D33" s="343" t="s">
        <v>170</v>
      </c>
      <c r="E33" s="344"/>
      <c r="F33" s="66"/>
      <c r="G33" s="235" t="s">
        <v>344</v>
      </c>
    </row>
    <row r="34" spans="2:7">
      <c r="C34" s="364"/>
      <c r="D34" s="343" t="s">
        <v>176</v>
      </c>
      <c r="E34" s="344"/>
      <c r="F34" s="66"/>
      <c r="G34" s="235"/>
    </row>
    <row r="35" spans="2:7">
      <c r="C35" s="67"/>
      <c r="D35" s="68"/>
      <c r="E35" s="68"/>
      <c r="F35" s="67"/>
      <c r="G35" s="251"/>
    </row>
    <row r="36" spans="2:7">
      <c r="B36" s="63" t="s">
        <v>177</v>
      </c>
      <c r="C36" s="63"/>
      <c r="D36" s="63"/>
      <c r="E36" s="63"/>
      <c r="F36" s="63"/>
      <c r="G36" s="63"/>
    </row>
    <row r="37" spans="2:7">
      <c r="B37" s="63"/>
      <c r="C37" s="244" t="s">
        <v>2</v>
      </c>
      <c r="D37" s="246" t="s">
        <v>22</v>
      </c>
      <c r="E37" s="247"/>
      <c r="F37" s="243" t="s">
        <v>182</v>
      </c>
      <c r="G37" s="243" t="s">
        <v>95</v>
      </c>
    </row>
    <row r="38" spans="2:7">
      <c r="B38" s="63"/>
      <c r="C38" s="245"/>
      <c r="D38" s="248"/>
      <c r="E38" s="249"/>
      <c r="F38" s="77"/>
      <c r="G38" s="238" t="s">
        <v>156</v>
      </c>
    </row>
    <row r="39" spans="2:7" ht="25.5" customHeight="1">
      <c r="B39" s="63"/>
      <c r="C39" s="245">
        <v>1</v>
      </c>
      <c r="D39" s="341" t="s">
        <v>178</v>
      </c>
      <c r="E39" s="342"/>
      <c r="F39" s="77"/>
      <c r="G39" s="238" t="s">
        <v>284</v>
      </c>
    </row>
    <row r="40" spans="2:7" ht="30" customHeight="1">
      <c r="B40" s="63"/>
      <c r="C40" s="78"/>
      <c r="D40" s="341" t="s">
        <v>179</v>
      </c>
      <c r="E40" s="342"/>
      <c r="F40" s="239"/>
      <c r="G40" s="239" t="s">
        <v>183</v>
      </c>
    </row>
    <row r="41" spans="2:7" ht="28.5" customHeight="1">
      <c r="B41" s="63"/>
      <c r="C41" s="79"/>
      <c r="D41" s="379" t="s">
        <v>180</v>
      </c>
      <c r="E41" s="380"/>
      <c r="F41" s="239"/>
      <c r="G41" s="252" t="s">
        <v>184</v>
      </c>
    </row>
    <row r="42" spans="2:7" ht="30" customHeight="1">
      <c r="B42" s="63"/>
      <c r="C42" s="80"/>
      <c r="D42" s="341" t="s">
        <v>181</v>
      </c>
      <c r="E42" s="342"/>
      <c r="F42" s="239"/>
      <c r="G42" s="252" t="s">
        <v>185</v>
      </c>
    </row>
    <row r="43" spans="2:7" ht="34.5" customHeight="1">
      <c r="B43" s="63"/>
      <c r="C43" s="252">
        <v>2</v>
      </c>
      <c r="D43" s="341" t="s">
        <v>285</v>
      </c>
      <c r="E43" s="354"/>
      <c r="F43" s="354"/>
      <c r="G43" s="342"/>
    </row>
    <row r="44" spans="2:7" ht="17.25" customHeight="1">
      <c r="B44" s="63"/>
      <c r="C44" s="78"/>
      <c r="D44" s="349" t="s">
        <v>186</v>
      </c>
      <c r="E44" s="350"/>
      <c r="F44" s="65" t="s">
        <v>187</v>
      </c>
      <c r="G44" s="66" t="s">
        <v>289</v>
      </c>
    </row>
    <row r="45" spans="2:7" ht="76.5">
      <c r="B45" s="63"/>
      <c r="C45" s="80"/>
      <c r="D45" s="377"/>
      <c r="E45" s="378"/>
      <c r="F45" s="90" t="s">
        <v>188</v>
      </c>
      <c r="G45" s="159" t="s">
        <v>345</v>
      </c>
    </row>
    <row r="46" spans="2:7" ht="33" customHeight="1">
      <c r="B46" s="63"/>
      <c r="C46" s="252">
        <v>3</v>
      </c>
      <c r="D46" s="341" t="s">
        <v>286</v>
      </c>
      <c r="E46" s="354"/>
      <c r="F46" s="354"/>
      <c r="G46" s="342"/>
    </row>
    <row r="47" spans="2:7" ht="18" customHeight="1">
      <c r="B47" s="63"/>
      <c r="C47" s="355"/>
      <c r="D47" s="349" t="s">
        <v>504</v>
      </c>
      <c r="E47" s="350"/>
      <c r="F47" s="65" t="s">
        <v>25</v>
      </c>
      <c r="G47" s="66" t="s">
        <v>289</v>
      </c>
    </row>
    <row r="48" spans="2:7" ht="89.25">
      <c r="B48" s="63"/>
      <c r="C48" s="357"/>
      <c r="D48" s="377"/>
      <c r="E48" s="378"/>
      <c r="F48" s="65" t="s">
        <v>26</v>
      </c>
      <c r="G48" s="159" t="s">
        <v>346</v>
      </c>
    </row>
    <row r="49" spans="1:18" ht="18" customHeight="1">
      <c r="B49" s="63"/>
      <c r="C49" s="355"/>
      <c r="D49" s="349" t="s">
        <v>414</v>
      </c>
      <c r="E49" s="350"/>
      <c r="F49" s="65" t="s">
        <v>25</v>
      </c>
      <c r="G49" s="66" t="s">
        <v>415</v>
      </c>
    </row>
    <row r="50" spans="1:18" ht="89.25">
      <c r="B50" s="63"/>
      <c r="C50" s="357"/>
      <c r="D50" s="377"/>
      <c r="E50" s="378"/>
      <c r="F50" s="65" t="s">
        <v>26</v>
      </c>
      <c r="G50" s="159" t="s">
        <v>416</v>
      </c>
    </row>
    <row r="51" spans="1:18">
      <c r="C51" s="81"/>
      <c r="D51" s="82"/>
      <c r="E51" s="82"/>
      <c r="F51" s="83"/>
      <c r="G51" s="84"/>
    </row>
    <row r="52" spans="1:18" s="63" customFormat="1">
      <c r="A52" s="96" t="s">
        <v>24</v>
      </c>
      <c r="R52" s="62"/>
    </row>
    <row r="53" spans="1:18" s="63" customFormat="1" ht="12.75">
      <c r="B53" s="63" t="s">
        <v>155</v>
      </c>
    </row>
    <row r="54" spans="1:18" s="63" customFormat="1" ht="12.75">
      <c r="B54" s="63" t="s">
        <v>99</v>
      </c>
    </row>
    <row r="55" spans="1:18">
      <c r="B55" s="63"/>
      <c r="C55" s="363" t="s">
        <v>2</v>
      </c>
      <c r="D55" s="365" t="s">
        <v>22</v>
      </c>
      <c r="E55" s="366"/>
      <c r="F55" s="369" t="s">
        <v>3</v>
      </c>
      <c r="G55" s="238" t="s">
        <v>95</v>
      </c>
      <c r="H55" s="63"/>
      <c r="R55" s="63"/>
    </row>
    <row r="56" spans="1:18">
      <c r="B56" s="63"/>
      <c r="C56" s="364"/>
      <c r="D56" s="367"/>
      <c r="E56" s="368"/>
      <c r="F56" s="370"/>
      <c r="G56" s="238" t="s">
        <v>156</v>
      </c>
      <c r="H56" s="63"/>
    </row>
    <row r="57" spans="1:18">
      <c r="B57" s="63"/>
      <c r="C57" s="372">
        <v>1</v>
      </c>
      <c r="D57" s="373" t="s">
        <v>347</v>
      </c>
      <c r="E57" s="375"/>
      <c r="F57" s="65" t="s">
        <v>25</v>
      </c>
      <c r="G57" s="66" t="s">
        <v>290</v>
      </c>
      <c r="H57" s="63"/>
    </row>
    <row r="58" spans="1:18" ht="89.25">
      <c r="B58" s="63"/>
      <c r="C58" s="372"/>
      <c r="D58" s="374"/>
      <c r="E58" s="376"/>
      <c r="F58" s="90" t="s">
        <v>26</v>
      </c>
      <c r="G58" s="159" t="s">
        <v>348</v>
      </c>
      <c r="H58" s="63"/>
    </row>
    <row r="59" spans="1:18">
      <c r="B59" s="63"/>
      <c r="C59" s="355">
        <v>2</v>
      </c>
      <c r="D59" s="373" t="s">
        <v>349</v>
      </c>
      <c r="E59" s="366"/>
      <c r="F59" s="65" t="s">
        <v>25</v>
      </c>
      <c r="G59" s="66" t="s">
        <v>350</v>
      </c>
      <c r="H59" s="63"/>
    </row>
    <row r="60" spans="1:18" ht="89.25">
      <c r="B60" s="63"/>
      <c r="C60" s="357"/>
      <c r="D60" s="374"/>
      <c r="E60" s="368"/>
      <c r="F60" s="90" t="s">
        <v>26</v>
      </c>
      <c r="G60" s="159" t="s">
        <v>351</v>
      </c>
      <c r="H60" s="63"/>
    </row>
    <row r="61" spans="1:18">
      <c r="B61" s="63"/>
      <c r="C61" s="66">
        <v>3</v>
      </c>
      <c r="D61" s="73" t="s">
        <v>105</v>
      </c>
      <c r="E61" s="75"/>
      <c r="F61" s="66"/>
      <c r="G61" s="66" t="s">
        <v>288</v>
      </c>
      <c r="H61" s="63"/>
    </row>
    <row r="62" spans="1:18">
      <c r="B62" s="63"/>
      <c r="C62" s="67"/>
      <c r="D62" s="63"/>
      <c r="E62" s="63"/>
      <c r="F62" s="67"/>
      <c r="G62" s="67"/>
      <c r="H62" s="63"/>
    </row>
    <row r="63" spans="1:18">
      <c r="B63" s="63" t="s">
        <v>100</v>
      </c>
      <c r="C63" s="63"/>
      <c r="D63" s="63"/>
      <c r="E63" s="63"/>
      <c r="F63" s="63"/>
      <c r="G63" s="63"/>
      <c r="H63" s="63"/>
    </row>
    <row r="64" spans="1:18">
      <c r="B64" s="63"/>
      <c r="C64" s="85" t="s">
        <v>2</v>
      </c>
      <c r="D64" s="232" t="s">
        <v>22</v>
      </c>
      <c r="E64" s="233"/>
      <c r="F64" s="238"/>
      <c r="G64" s="238" t="s">
        <v>156</v>
      </c>
      <c r="H64" s="63"/>
    </row>
    <row r="65" spans="2:8" ht="20.25" customHeight="1">
      <c r="B65" s="63"/>
      <c r="C65" s="252">
        <v>1</v>
      </c>
      <c r="D65" s="341" t="s">
        <v>191</v>
      </c>
      <c r="E65" s="354"/>
      <c r="F65" s="354"/>
      <c r="G65" s="342"/>
      <c r="H65" s="63"/>
    </row>
    <row r="66" spans="2:8">
      <c r="B66" s="63"/>
      <c r="C66" s="363"/>
      <c r="D66" s="242" t="s">
        <v>192</v>
      </c>
      <c r="E66" s="233"/>
      <c r="F66" s="238"/>
      <c r="G66" s="238" t="s">
        <v>194</v>
      </c>
      <c r="H66" s="63"/>
    </row>
    <row r="67" spans="2:8" ht="15.75" customHeight="1">
      <c r="B67" s="63"/>
      <c r="C67" s="364"/>
      <c r="D67" s="341" t="s">
        <v>193</v>
      </c>
      <c r="E67" s="342"/>
      <c r="F67" s="238"/>
      <c r="G67" s="238" t="s">
        <v>195</v>
      </c>
      <c r="H67" s="63"/>
    </row>
    <row r="68" spans="2:8" ht="20.25" customHeight="1">
      <c r="B68" s="63"/>
      <c r="C68" s="252">
        <v>2</v>
      </c>
      <c r="D68" s="341" t="s">
        <v>196</v>
      </c>
      <c r="E68" s="354"/>
      <c r="F68" s="354"/>
      <c r="G68" s="342"/>
      <c r="H68" s="63"/>
    </row>
    <row r="69" spans="2:8">
      <c r="B69" s="63"/>
      <c r="C69" s="363"/>
      <c r="D69" s="242" t="s">
        <v>192</v>
      </c>
      <c r="E69" s="233"/>
      <c r="F69" s="238"/>
      <c r="G69" s="238" t="s">
        <v>197</v>
      </c>
      <c r="H69" s="63"/>
    </row>
    <row r="70" spans="2:8" ht="15.75" customHeight="1">
      <c r="B70" s="63"/>
      <c r="C70" s="364"/>
      <c r="D70" s="341" t="s">
        <v>193</v>
      </c>
      <c r="E70" s="342"/>
      <c r="F70" s="238"/>
      <c r="G70" s="238" t="s">
        <v>198</v>
      </c>
      <c r="H70" s="63"/>
    </row>
    <row r="71" spans="2:8" ht="20.25" customHeight="1">
      <c r="B71" s="63"/>
      <c r="C71" s="252">
        <v>3</v>
      </c>
      <c r="D71" s="341" t="s">
        <v>352</v>
      </c>
      <c r="E71" s="354"/>
      <c r="F71" s="354"/>
      <c r="G71" s="342"/>
      <c r="H71" s="63"/>
    </row>
    <row r="72" spans="2:8">
      <c r="B72" s="63"/>
      <c r="C72" s="363"/>
      <c r="D72" s="242" t="s">
        <v>192</v>
      </c>
      <c r="E72" s="233"/>
      <c r="F72" s="238"/>
      <c r="G72" s="238" t="s">
        <v>353</v>
      </c>
      <c r="H72" s="63"/>
    </row>
    <row r="73" spans="2:8" ht="15.75" customHeight="1">
      <c r="B73" s="63"/>
      <c r="C73" s="364"/>
      <c r="D73" s="341" t="s">
        <v>193</v>
      </c>
      <c r="E73" s="342"/>
      <c r="F73" s="238"/>
      <c r="G73" s="238" t="s">
        <v>354</v>
      </c>
      <c r="H73" s="63"/>
    </row>
    <row r="74" spans="2:8" ht="34.5" customHeight="1">
      <c r="B74" s="63"/>
      <c r="C74" s="252">
        <v>4</v>
      </c>
      <c r="D74" s="341" t="s">
        <v>199</v>
      </c>
      <c r="E74" s="342"/>
      <c r="F74" s="237"/>
      <c r="G74" s="252" t="s">
        <v>291</v>
      </c>
      <c r="H74" s="63"/>
    </row>
    <row r="75" spans="2:8">
      <c r="B75" s="63"/>
      <c r="C75" s="252">
        <v>5</v>
      </c>
      <c r="D75" s="341" t="s">
        <v>101</v>
      </c>
      <c r="E75" s="342"/>
      <c r="F75" s="237" t="s">
        <v>200</v>
      </c>
      <c r="G75" s="252">
        <v>0.2</v>
      </c>
      <c r="H75" s="63"/>
    </row>
    <row r="76" spans="2:8">
      <c r="B76" s="63"/>
      <c r="C76" s="252">
        <v>6</v>
      </c>
      <c r="D76" s="341" t="s">
        <v>102</v>
      </c>
      <c r="E76" s="342"/>
      <c r="F76" s="237" t="s">
        <v>200</v>
      </c>
      <c r="G76" s="252">
        <v>0.2</v>
      </c>
      <c r="H76" s="63"/>
    </row>
    <row r="77" spans="2:8">
      <c r="B77" s="63"/>
      <c r="C77" s="252">
        <v>7</v>
      </c>
      <c r="D77" s="341" t="s">
        <v>103</v>
      </c>
      <c r="E77" s="342"/>
      <c r="F77" s="237" t="s">
        <v>200</v>
      </c>
      <c r="G77" s="252">
        <v>0.2</v>
      </c>
      <c r="H77" s="63"/>
    </row>
    <row r="78" spans="2:8">
      <c r="B78" s="63"/>
      <c r="C78" s="252">
        <v>8</v>
      </c>
      <c r="D78" s="341" t="s">
        <v>104</v>
      </c>
      <c r="E78" s="342"/>
      <c r="F78" s="237" t="s">
        <v>200</v>
      </c>
      <c r="G78" s="252">
        <v>0.3</v>
      </c>
      <c r="H78" s="63"/>
    </row>
    <row r="79" spans="2:8">
      <c r="B79" s="63"/>
      <c r="C79" s="252">
        <v>9</v>
      </c>
      <c r="D79" s="341" t="s">
        <v>355</v>
      </c>
      <c r="E79" s="342"/>
      <c r="F79" s="237" t="s">
        <v>200</v>
      </c>
      <c r="G79" s="252">
        <v>0.5</v>
      </c>
      <c r="H79" s="63"/>
    </row>
    <row r="80" spans="2:8">
      <c r="B80" s="63"/>
      <c r="C80" s="252">
        <v>10</v>
      </c>
      <c r="D80" s="341" t="s">
        <v>356</v>
      </c>
      <c r="E80" s="342"/>
      <c r="F80" s="237" t="s">
        <v>200</v>
      </c>
      <c r="G80" s="252">
        <v>0.6</v>
      </c>
      <c r="H80" s="63"/>
    </row>
    <row r="81" spans="2:8">
      <c r="B81" s="63"/>
      <c r="C81" s="87"/>
      <c r="D81" s="251"/>
      <c r="E81" s="251"/>
      <c r="F81" s="86"/>
      <c r="G81" s="87"/>
      <c r="H81" s="63"/>
    </row>
    <row r="82" spans="2:8">
      <c r="B82" s="99" t="s">
        <v>296</v>
      </c>
      <c r="C82" s="87"/>
      <c r="D82" s="251"/>
      <c r="E82" s="251"/>
      <c r="F82" s="86"/>
      <c r="G82" s="87"/>
      <c r="H82" s="63"/>
    </row>
    <row r="83" spans="2:8" ht="21" customHeight="1">
      <c r="B83" s="371" t="s">
        <v>297</v>
      </c>
      <c r="C83" s="371"/>
      <c r="D83" s="371"/>
      <c r="E83" s="371"/>
      <c r="F83" s="371"/>
      <c r="G83" s="371"/>
      <c r="H83" s="371"/>
    </row>
    <row r="84" spans="2:8" ht="28.5" customHeight="1">
      <c r="B84" s="63"/>
      <c r="C84" s="63"/>
      <c r="D84" s="348" t="s">
        <v>27</v>
      </c>
      <c r="E84" s="339"/>
      <c r="F84" s="234"/>
      <c r="G84" s="238" t="s">
        <v>156</v>
      </c>
      <c r="H84" s="63"/>
    </row>
    <row r="85" spans="2:8">
      <c r="B85" s="63"/>
      <c r="C85" s="63"/>
      <c r="D85" s="345" t="s">
        <v>28</v>
      </c>
      <c r="E85" s="346"/>
      <c r="F85" s="233"/>
      <c r="G85" s="252">
        <v>7</v>
      </c>
      <c r="H85" s="63"/>
    </row>
    <row r="86" spans="2:8">
      <c r="B86" s="63"/>
      <c r="C86" s="63"/>
      <c r="D86" s="345" t="s">
        <v>29</v>
      </c>
      <c r="E86" s="346"/>
      <c r="F86" s="233"/>
      <c r="G86" s="252">
        <v>5</v>
      </c>
      <c r="H86" s="63"/>
    </row>
    <row r="87" spans="2:8">
      <c r="B87" s="63"/>
      <c r="C87" s="63"/>
      <c r="D87" s="345" t="s">
        <v>30</v>
      </c>
      <c r="E87" s="346"/>
      <c r="F87" s="233"/>
      <c r="G87" s="252">
        <v>3</v>
      </c>
      <c r="H87" s="63"/>
    </row>
    <row r="88" spans="2:8">
      <c r="B88" s="63"/>
      <c r="C88" s="63"/>
      <c r="D88" s="345" t="s">
        <v>31</v>
      </c>
      <c r="E88" s="346"/>
      <c r="F88" s="233"/>
      <c r="G88" s="252">
        <v>2</v>
      </c>
      <c r="H88" s="63"/>
    </row>
    <row r="89" spans="2:8">
      <c r="B89" s="63"/>
      <c r="C89" s="63"/>
      <c r="D89" s="345" t="s">
        <v>32</v>
      </c>
      <c r="E89" s="346"/>
      <c r="F89" s="233"/>
      <c r="G89" s="252">
        <v>1</v>
      </c>
      <c r="H89" s="63"/>
    </row>
    <row r="90" spans="2:8">
      <c r="B90" s="63"/>
      <c r="C90" s="63"/>
      <c r="D90" s="97"/>
      <c r="E90" s="97"/>
      <c r="F90" s="98"/>
      <c r="G90" s="98"/>
      <c r="H90" s="63"/>
    </row>
    <row r="91" spans="2:8" ht="29.25" customHeight="1">
      <c r="B91" s="347" t="s">
        <v>190</v>
      </c>
      <c r="C91" s="347"/>
      <c r="D91" s="347"/>
      <c r="E91" s="347"/>
      <c r="F91" s="347"/>
      <c r="G91" s="347"/>
      <c r="H91" s="347"/>
    </row>
    <row r="92" spans="2:8" ht="24.75" customHeight="1">
      <c r="B92" s="101" t="s">
        <v>298</v>
      </c>
      <c r="C92" s="63"/>
      <c r="D92" s="86"/>
      <c r="E92" s="86"/>
      <c r="F92" s="87"/>
      <c r="G92" s="87"/>
      <c r="H92" s="63"/>
    </row>
    <row r="93" spans="2:8">
      <c r="B93" s="63"/>
      <c r="C93" s="63"/>
      <c r="D93" s="86"/>
      <c r="E93" s="86"/>
      <c r="F93" s="87"/>
      <c r="G93" s="87"/>
      <c r="H93" s="63"/>
    </row>
    <row r="94" spans="2:8">
      <c r="B94" s="63"/>
      <c r="C94" s="63"/>
      <c r="D94" s="348" t="s">
        <v>106</v>
      </c>
      <c r="E94" s="339"/>
      <c r="F94" s="234"/>
      <c r="G94" s="238" t="s">
        <v>156</v>
      </c>
      <c r="H94" s="63"/>
    </row>
    <row r="95" spans="2:8">
      <c r="B95" s="63"/>
      <c r="C95" s="63"/>
      <c r="D95" s="345" t="s">
        <v>107</v>
      </c>
      <c r="E95" s="346"/>
      <c r="F95" s="233"/>
      <c r="G95" s="252">
        <v>12</v>
      </c>
      <c r="H95" s="63"/>
    </row>
    <row r="96" spans="2:8">
      <c r="B96" s="63"/>
      <c r="C96" s="63"/>
      <c r="D96" s="345" t="s">
        <v>108</v>
      </c>
      <c r="E96" s="346"/>
      <c r="F96" s="233"/>
      <c r="G96" s="252">
        <v>10</v>
      </c>
      <c r="H96" s="63"/>
    </row>
    <row r="97" spans="2:8">
      <c r="B97" s="63"/>
      <c r="C97" s="63"/>
      <c r="D97" s="345" t="s">
        <v>109</v>
      </c>
      <c r="E97" s="346"/>
      <c r="F97" s="233"/>
      <c r="G97" s="252">
        <v>8</v>
      </c>
      <c r="H97" s="63"/>
    </row>
    <row r="98" spans="2:8">
      <c r="B98" s="63"/>
      <c r="C98" s="63"/>
      <c r="D98" s="345" t="s">
        <v>110</v>
      </c>
      <c r="E98" s="346"/>
      <c r="F98" s="233"/>
      <c r="G98" s="252">
        <v>7</v>
      </c>
      <c r="H98" s="63"/>
    </row>
    <row r="99" spans="2:8">
      <c r="B99" s="63"/>
      <c r="C99" s="63"/>
      <c r="D99" s="345" t="s">
        <v>111</v>
      </c>
      <c r="E99" s="346"/>
      <c r="F99" s="233"/>
      <c r="G99" s="252">
        <v>5</v>
      </c>
      <c r="H99" s="63"/>
    </row>
    <row r="100" spans="2:8">
      <c r="B100" s="63"/>
      <c r="C100" s="63"/>
      <c r="D100" s="345" t="s">
        <v>112</v>
      </c>
      <c r="E100" s="346"/>
      <c r="F100" s="233"/>
      <c r="G100" s="252">
        <v>3</v>
      </c>
      <c r="H100" s="63"/>
    </row>
    <row r="101" spans="2:8">
      <c r="B101" s="63"/>
      <c r="C101" s="63"/>
      <c r="D101" s="345" t="s">
        <v>113</v>
      </c>
      <c r="E101" s="346"/>
      <c r="F101" s="233"/>
      <c r="G101" s="252">
        <v>2</v>
      </c>
      <c r="H101" s="63"/>
    </row>
    <row r="102" spans="2:8">
      <c r="B102" s="63"/>
      <c r="C102" s="63"/>
      <c r="D102" s="345" t="s">
        <v>114</v>
      </c>
      <c r="E102" s="346"/>
      <c r="F102" s="233"/>
      <c r="G102" s="252">
        <v>1</v>
      </c>
      <c r="H102" s="63"/>
    </row>
    <row r="103" spans="2:8">
      <c r="C103" s="63"/>
      <c r="D103" s="97"/>
      <c r="E103" s="97"/>
      <c r="F103" s="98"/>
      <c r="G103" s="98"/>
      <c r="H103" s="63"/>
    </row>
    <row r="104" spans="2:8">
      <c r="B104" s="63" t="s">
        <v>201</v>
      </c>
      <c r="C104" s="63"/>
      <c r="D104" s="86"/>
      <c r="E104" s="86"/>
      <c r="F104" s="87"/>
      <c r="G104" s="87"/>
      <c r="H104" s="63"/>
    </row>
    <row r="105" spans="2:8" ht="16.5" customHeight="1">
      <c r="C105" s="63"/>
      <c r="D105" s="86"/>
      <c r="E105" s="86"/>
      <c r="F105" s="87" t="s">
        <v>204</v>
      </c>
      <c r="G105" s="87"/>
      <c r="H105" s="63"/>
    </row>
    <row r="106" spans="2:8" ht="16.5" customHeight="1">
      <c r="B106" s="63"/>
      <c r="C106" s="363" t="s">
        <v>2</v>
      </c>
      <c r="D106" s="365" t="s">
        <v>22</v>
      </c>
      <c r="E106" s="366"/>
      <c r="F106" s="369" t="s">
        <v>203</v>
      </c>
      <c r="G106" s="238" t="s">
        <v>95</v>
      </c>
      <c r="H106" s="63"/>
    </row>
    <row r="107" spans="2:8" ht="16.5" customHeight="1">
      <c r="B107" s="63"/>
      <c r="C107" s="364"/>
      <c r="D107" s="367"/>
      <c r="E107" s="368"/>
      <c r="F107" s="370"/>
      <c r="G107" s="238" t="s">
        <v>156</v>
      </c>
      <c r="H107" s="63"/>
    </row>
    <row r="108" spans="2:8" ht="16.5" customHeight="1">
      <c r="B108" s="63"/>
      <c r="C108" s="252">
        <v>3</v>
      </c>
      <c r="D108" s="253" t="s">
        <v>202</v>
      </c>
      <c r="E108" s="254"/>
      <c r="F108" s="65"/>
      <c r="G108" s="66" t="s">
        <v>205</v>
      </c>
      <c r="H108" s="63"/>
    </row>
    <row r="109" spans="2:8" ht="67.5" customHeight="1">
      <c r="B109" s="63"/>
      <c r="C109" s="241">
        <v>4</v>
      </c>
      <c r="D109" s="341" t="s">
        <v>302</v>
      </c>
      <c r="E109" s="342"/>
      <c r="F109" s="239" t="s">
        <v>206</v>
      </c>
      <c r="G109" s="89" t="s">
        <v>210</v>
      </c>
      <c r="H109" s="63"/>
    </row>
    <row r="110" spans="2:8" ht="54.75" customHeight="1">
      <c r="B110" s="63"/>
      <c r="C110" s="241">
        <v>5</v>
      </c>
      <c r="D110" s="341" t="s">
        <v>299</v>
      </c>
      <c r="E110" s="342"/>
      <c r="F110" s="239" t="s">
        <v>208</v>
      </c>
      <c r="G110" s="252" t="s">
        <v>209</v>
      </c>
      <c r="H110" s="63"/>
    </row>
    <row r="111" spans="2:8" ht="20.25" customHeight="1">
      <c r="B111" s="63"/>
      <c r="C111" s="355">
        <v>6</v>
      </c>
      <c r="D111" s="341" t="s">
        <v>211</v>
      </c>
      <c r="E111" s="354"/>
      <c r="F111" s="354"/>
      <c r="G111" s="354"/>
      <c r="H111" s="63"/>
    </row>
    <row r="112" spans="2:8" ht="25.5" customHeight="1">
      <c r="B112" s="63"/>
      <c r="C112" s="356"/>
      <c r="D112" s="361" t="s">
        <v>300</v>
      </c>
      <c r="E112" s="236" t="s">
        <v>357</v>
      </c>
      <c r="F112" s="239" t="s">
        <v>208</v>
      </c>
      <c r="G112" s="252" t="s">
        <v>213</v>
      </c>
      <c r="H112" s="63"/>
    </row>
    <row r="113" spans="2:8" ht="25.5" customHeight="1">
      <c r="B113" s="63"/>
      <c r="C113" s="356"/>
      <c r="D113" s="362"/>
      <c r="E113" s="236" t="s">
        <v>335</v>
      </c>
      <c r="F113" s="239"/>
      <c r="G113" s="252" t="s">
        <v>209</v>
      </c>
      <c r="H113" s="63"/>
    </row>
    <row r="114" spans="2:8" ht="25.5" customHeight="1">
      <c r="B114" s="63"/>
      <c r="C114" s="356"/>
      <c r="D114" s="361" t="s">
        <v>301</v>
      </c>
      <c r="E114" s="236" t="s">
        <v>357</v>
      </c>
      <c r="F114" s="239" t="s">
        <v>208</v>
      </c>
      <c r="G114" s="252" t="s">
        <v>214</v>
      </c>
      <c r="H114" s="63"/>
    </row>
    <row r="115" spans="2:8" ht="25.5" customHeight="1">
      <c r="B115" s="63"/>
      <c r="C115" s="357"/>
      <c r="D115" s="362"/>
      <c r="E115" s="236" t="s">
        <v>335</v>
      </c>
      <c r="F115" s="161"/>
      <c r="G115" s="252" t="s">
        <v>358</v>
      </c>
      <c r="H115" s="63"/>
    </row>
    <row r="116" spans="2:8" ht="22.5" customHeight="1">
      <c r="B116" s="63"/>
      <c r="C116" s="241">
        <v>7</v>
      </c>
      <c r="D116" s="341" t="s">
        <v>212</v>
      </c>
      <c r="E116" s="354"/>
      <c r="F116" s="354"/>
      <c r="G116" s="342"/>
      <c r="H116" s="63"/>
    </row>
    <row r="117" spans="2:8" ht="22.5" customHeight="1">
      <c r="B117" s="63"/>
      <c r="C117" s="241"/>
      <c r="D117" s="235" t="s">
        <v>359</v>
      </c>
      <c r="E117" s="240"/>
      <c r="F117" s="239" t="s">
        <v>208</v>
      </c>
      <c r="G117" s="252" t="s">
        <v>213</v>
      </c>
      <c r="H117" s="63"/>
    </row>
    <row r="118" spans="2:8" ht="23.25" customHeight="1">
      <c r="B118" s="63"/>
      <c r="C118" s="355"/>
      <c r="D118" s="235" t="s">
        <v>215</v>
      </c>
      <c r="E118" s="236"/>
      <c r="F118" s="239" t="s">
        <v>208</v>
      </c>
      <c r="G118" s="252" t="s">
        <v>214</v>
      </c>
      <c r="H118" s="63"/>
    </row>
    <row r="119" spans="2:8" ht="20.25" customHeight="1">
      <c r="B119" s="63"/>
      <c r="C119" s="356"/>
      <c r="D119" s="235" t="s">
        <v>216</v>
      </c>
      <c r="E119" s="236"/>
      <c r="F119" s="239" t="s">
        <v>208</v>
      </c>
      <c r="G119" s="252" t="s">
        <v>213</v>
      </c>
      <c r="H119" s="63"/>
    </row>
    <row r="120" spans="2:8" ht="20.25" customHeight="1">
      <c r="B120" s="63"/>
      <c r="C120" s="357"/>
      <c r="D120" s="341" t="s">
        <v>217</v>
      </c>
      <c r="E120" s="342"/>
      <c r="F120" s="239" t="s">
        <v>208</v>
      </c>
      <c r="G120" s="252" t="s">
        <v>214</v>
      </c>
      <c r="H120" s="63"/>
    </row>
    <row r="121" spans="2:8">
      <c r="B121" s="63"/>
      <c r="C121" s="63"/>
      <c r="D121" s="63"/>
      <c r="E121" s="63"/>
      <c r="F121" s="63"/>
      <c r="G121" s="63"/>
      <c r="H121" s="63"/>
    </row>
    <row r="122" spans="2:8">
      <c r="B122" s="63" t="s">
        <v>207</v>
      </c>
      <c r="C122" s="63"/>
      <c r="D122" s="63"/>
      <c r="E122" s="63"/>
      <c r="F122" s="63"/>
      <c r="G122" s="63"/>
      <c r="H122" s="63"/>
    </row>
    <row r="123" spans="2:8">
      <c r="B123" s="63"/>
      <c r="C123" s="85" t="s">
        <v>2</v>
      </c>
      <c r="D123" s="358" t="s">
        <v>225</v>
      </c>
      <c r="E123" s="359"/>
      <c r="F123" s="360"/>
      <c r="G123" s="238" t="s">
        <v>156</v>
      </c>
      <c r="H123" s="63"/>
    </row>
    <row r="124" spans="2:8" ht="25.5">
      <c r="B124" s="63"/>
      <c r="C124" s="239">
        <v>1</v>
      </c>
      <c r="D124" s="77" t="s">
        <v>218</v>
      </c>
      <c r="E124" s="349" t="s">
        <v>34</v>
      </c>
      <c r="F124" s="350"/>
      <c r="G124" s="66">
        <v>2</v>
      </c>
      <c r="H124" s="63"/>
    </row>
    <row r="125" spans="2:8">
      <c r="B125" s="63"/>
      <c r="C125" s="239">
        <v>2</v>
      </c>
      <c r="D125" s="88" t="s">
        <v>219</v>
      </c>
      <c r="E125" s="349" t="s">
        <v>34</v>
      </c>
      <c r="F125" s="350"/>
      <c r="G125" s="252">
        <v>1</v>
      </c>
      <c r="H125" s="63"/>
    </row>
    <row r="126" spans="2:8" ht="25.5">
      <c r="B126" s="63"/>
      <c r="C126" s="239">
        <v>3</v>
      </c>
      <c r="D126" s="88" t="s">
        <v>220</v>
      </c>
      <c r="E126" s="349" t="s">
        <v>222</v>
      </c>
      <c r="F126" s="350"/>
      <c r="G126" s="252">
        <v>0.2</v>
      </c>
      <c r="H126" s="63"/>
    </row>
    <row r="127" spans="2:8" ht="26.25" customHeight="1">
      <c r="B127" s="63"/>
      <c r="C127" s="239">
        <v>4</v>
      </c>
      <c r="D127" s="88" t="s">
        <v>221</v>
      </c>
      <c r="E127" s="349" t="s">
        <v>223</v>
      </c>
      <c r="F127" s="350"/>
      <c r="G127" s="252">
        <v>0.3</v>
      </c>
      <c r="H127" s="63"/>
    </row>
    <row r="128" spans="2:8" ht="26.25" customHeight="1">
      <c r="B128" s="63"/>
      <c r="C128" s="239">
        <v>5</v>
      </c>
      <c r="D128" s="88" t="s">
        <v>336</v>
      </c>
      <c r="E128" s="349" t="s">
        <v>222</v>
      </c>
      <c r="F128" s="350"/>
      <c r="G128" s="252">
        <v>0.5</v>
      </c>
      <c r="H128" s="63"/>
    </row>
    <row r="129" spans="2:8" ht="26.25" customHeight="1">
      <c r="B129" s="63"/>
      <c r="C129" s="239">
        <v>6</v>
      </c>
      <c r="D129" s="88" t="s">
        <v>337</v>
      </c>
      <c r="E129" s="349" t="s">
        <v>223</v>
      </c>
      <c r="F129" s="350"/>
      <c r="G129" s="252">
        <v>0.6</v>
      </c>
      <c r="H129" s="63"/>
    </row>
    <row r="130" spans="2:8" ht="25.5" customHeight="1">
      <c r="B130" s="63"/>
      <c r="C130" s="239">
        <v>7</v>
      </c>
      <c r="D130" s="88" t="s">
        <v>33</v>
      </c>
      <c r="E130" s="349" t="s">
        <v>224</v>
      </c>
      <c r="F130" s="350"/>
      <c r="G130" s="252">
        <v>1</v>
      </c>
      <c r="H130" s="63"/>
    </row>
    <row r="131" spans="2:8" ht="25.5">
      <c r="B131" s="63"/>
      <c r="C131" s="239">
        <v>8</v>
      </c>
      <c r="D131" s="88" t="s">
        <v>227</v>
      </c>
      <c r="E131" s="349" t="s">
        <v>226</v>
      </c>
      <c r="F131" s="350"/>
      <c r="G131" s="252">
        <v>5</v>
      </c>
      <c r="H131" s="63"/>
    </row>
    <row r="132" spans="2:8" ht="38.25" customHeight="1">
      <c r="B132" s="63"/>
      <c r="C132" s="239">
        <v>9</v>
      </c>
      <c r="D132" s="88" t="s">
        <v>303</v>
      </c>
      <c r="E132" s="349" t="s">
        <v>226</v>
      </c>
      <c r="F132" s="350"/>
      <c r="G132" s="252">
        <v>3</v>
      </c>
      <c r="H132" s="63"/>
    </row>
    <row r="133" spans="2:8" ht="30" customHeight="1">
      <c r="B133" s="63"/>
      <c r="C133" s="239">
        <v>10</v>
      </c>
      <c r="D133" s="88" t="s">
        <v>228</v>
      </c>
      <c r="E133" s="349" t="s">
        <v>232</v>
      </c>
      <c r="F133" s="350"/>
      <c r="G133" s="252">
        <v>0.15</v>
      </c>
      <c r="H133" s="63"/>
    </row>
    <row r="134" spans="2:8" ht="14.25" customHeight="1">
      <c r="B134" s="63"/>
      <c r="C134" s="239">
        <v>11</v>
      </c>
      <c r="D134" s="88" t="s">
        <v>229</v>
      </c>
      <c r="E134" s="349" t="s">
        <v>232</v>
      </c>
      <c r="F134" s="350"/>
      <c r="G134" s="252">
        <v>0.3</v>
      </c>
      <c r="H134" s="63"/>
    </row>
    <row r="135" spans="2:8" ht="33.75" customHeight="1">
      <c r="B135" s="63"/>
      <c r="C135" s="351">
        <v>12</v>
      </c>
      <c r="D135" s="352" t="s">
        <v>35</v>
      </c>
      <c r="E135" s="349" t="s">
        <v>36</v>
      </c>
      <c r="F135" s="350"/>
      <c r="G135" s="252" t="s">
        <v>233</v>
      </c>
      <c r="H135" s="63"/>
    </row>
    <row r="136" spans="2:8" ht="36.75" customHeight="1">
      <c r="B136" s="63"/>
      <c r="C136" s="351"/>
      <c r="D136" s="353"/>
      <c r="E136" s="341" t="s">
        <v>37</v>
      </c>
      <c r="F136" s="342"/>
      <c r="G136" s="252" t="s">
        <v>234</v>
      </c>
      <c r="H136" s="63"/>
    </row>
    <row r="137" spans="2:8" ht="36.75" customHeight="1">
      <c r="B137" s="63"/>
      <c r="C137" s="239">
        <v>13</v>
      </c>
      <c r="D137" s="88" t="s">
        <v>230</v>
      </c>
      <c r="E137" s="341"/>
      <c r="F137" s="342"/>
      <c r="G137" s="252" t="s">
        <v>231</v>
      </c>
      <c r="H137" s="63"/>
    </row>
    <row r="138" spans="2:8">
      <c r="B138" s="63"/>
      <c r="C138" s="63"/>
      <c r="D138" s="63"/>
      <c r="E138" s="63"/>
      <c r="F138" s="63"/>
      <c r="G138" s="63"/>
      <c r="H138" s="63"/>
    </row>
    <row r="139" spans="2:8">
      <c r="B139" s="63"/>
      <c r="C139" s="63"/>
      <c r="D139" s="63"/>
      <c r="E139" s="63"/>
      <c r="F139" s="63"/>
      <c r="G139" s="63"/>
      <c r="H139" s="63"/>
    </row>
    <row r="140" spans="2:8" ht="14.25" customHeight="1">
      <c r="B140" s="347" t="s">
        <v>304</v>
      </c>
      <c r="C140" s="347"/>
      <c r="D140" s="347"/>
      <c r="E140" s="347"/>
      <c r="F140" s="347"/>
      <c r="G140" s="347"/>
      <c r="H140" s="347"/>
    </row>
    <row r="141" spans="2:8">
      <c r="B141" s="100" t="s">
        <v>305</v>
      </c>
      <c r="C141" s="63"/>
      <c r="D141" s="86"/>
      <c r="E141" s="86"/>
      <c r="F141" s="87"/>
      <c r="G141" s="87"/>
      <c r="H141" s="63"/>
    </row>
    <row r="142" spans="2:8">
      <c r="B142" s="63"/>
      <c r="C142" s="63"/>
      <c r="D142" s="86"/>
      <c r="E142" s="86"/>
      <c r="F142" s="87"/>
      <c r="G142" s="87"/>
      <c r="H142" s="63"/>
    </row>
    <row r="143" spans="2:8">
      <c r="B143" s="63"/>
      <c r="C143" s="63"/>
      <c r="D143" s="348" t="s">
        <v>106</v>
      </c>
      <c r="E143" s="339"/>
      <c r="F143" s="238" t="s">
        <v>156</v>
      </c>
      <c r="G143" s="63"/>
    </row>
    <row r="144" spans="2:8">
      <c r="B144" s="63"/>
      <c r="C144" s="63"/>
      <c r="D144" s="345" t="s">
        <v>107</v>
      </c>
      <c r="E144" s="346"/>
      <c r="F144" s="252">
        <v>12</v>
      </c>
      <c r="G144" s="63"/>
    </row>
    <row r="145" spans="2:8">
      <c r="B145" s="63"/>
      <c r="C145" s="63"/>
      <c r="D145" s="345" t="s">
        <v>108</v>
      </c>
      <c r="E145" s="346"/>
      <c r="F145" s="252">
        <v>10</v>
      </c>
      <c r="G145" s="63"/>
    </row>
    <row r="146" spans="2:8">
      <c r="B146" s="63"/>
      <c r="C146" s="63"/>
      <c r="D146" s="345" t="s">
        <v>109</v>
      </c>
      <c r="E146" s="346"/>
      <c r="F146" s="252">
        <v>8</v>
      </c>
      <c r="G146" s="63"/>
    </row>
    <row r="147" spans="2:8">
      <c r="B147" s="63"/>
      <c r="C147" s="63"/>
      <c r="D147" s="345" t="s">
        <v>110</v>
      </c>
      <c r="E147" s="346"/>
      <c r="F147" s="252">
        <v>7</v>
      </c>
      <c r="G147" s="63"/>
    </row>
    <row r="148" spans="2:8">
      <c r="B148" s="63"/>
      <c r="C148" s="63"/>
      <c r="D148" s="345" t="s">
        <v>111</v>
      </c>
      <c r="E148" s="346"/>
      <c r="F148" s="252">
        <v>5</v>
      </c>
      <c r="G148" s="63"/>
    </row>
    <row r="149" spans="2:8">
      <c r="B149" s="63"/>
      <c r="C149" s="63"/>
      <c r="D149" s="345" t="s">
        <v>112</v>
      </c>
      <c r="E149" s="346"/>
      <c r="F149" s="252">
        <v>3</v>
      </c>
      <c r="G149" s="63"/>
    </row>
    <row r="150" spans="2:8">
      <c r="B150" s="63"/>
      <c r="C150" s="63"/>
      <c r="D150" s="345" t="s">
        <v>113</v>
      </c>
      <c r="E150" s="346"/>
      <c r="F150" s="252">
        <v>2</v>
      </c>
      <c r="G150" s="63"/>
    </row>
    <row r="151" spans="2:8">
      <c r="B151" s="63"/>
      <c r="C151" s="63"/>
      <c r="D151" s="345" t="s">
        <v>114</v>
      </c>
      <c r="E151" s="346"/>
      <c r="F151" s="252">
        <v>1</v>
      </c>
      <c r="G151" s="63"/>
    </row>
    <row r="152" spans="2:8">
      <c r="B152" s="63"/>
      <c r="C152" s="63"/>
      <c r="D152" s="63"/>
      <c r="E152" s="63"/>
      <c r="F152" s="63"/>
      <c r="G152" s="63"/>
      <c r="H152" s="63"/>
    </row>
    <row r="153" spans="2:8">
      <c r="B153" s="63"/>
      <c r="C153" s="63"/>
      <c r="D153" s="63"/>
      <c r="E153" s="63"/>
      <c r="F153" s="63"/>
      <c r="G153" s="63"/>
      <c r="H153" s="63"/>
    </row>
    <row r="154" spans="2:8">
      <c r="B154" s="63" t="s">
        <v>235</v>
      </c>
      <c r="C154" s="63"/>
      <c r="D154" s="63"/>
      <c r="E154" s="63"/>
      <c r="F154" s="63"/>
      <c r="G154" s="63"/>
      <c r="H154" s="63"/>
    </row>
    <row r="155" spans="2:8">
      <c r="B155" s="63"/>
      <c r="C155" s="85" t="s">
        <v>2</v>
      </c>
      <c r="D155" s="232" t="s">
        <v>137</v>
      </c>
      <c r="E155" s="72"/>
      <c r="F155" s="89"/>
      <c r="G155" s="238" t="s">
        <v>21</v>
      </c>
      <c r="H155" s="63"/>
    </row>
    <row r="156" spans="2:8" ht="26.45" customHeight="1">
      <c r="B156" s="63"/>
      <c r="C156" s="90">
        <v>1</v>
      </c>
      <c r="D156" s="341" t="s">
        <v>236</v>
      </c>
      <c r="E156" s="342"/>
      <c r="F156" s="91" t="s">
        <v>34</v>
      </c>
      <c r="G156" s="92">
        <v>2</v>
      </c>
      <c r="H156" s="63"/>
    </row>
    <row r="157" spans="2:8" ht="26.45" customHeight="1">
      <c r="B157" s="63"/>
      <c r="C157" s="90">
        <v>2</v>
      </c>
      <c r="D157" s="341" t="s">
        <v>237</v>
      </c>
      <c r="E157" s="342"/>
      <c r="F157" s="91" t="s">
        <v>34</v>
      </c>
      <c r="G157" s="92">
        <v>1</v>
      </c>
      <c r="H157" s="63"/>
    </row>
    <row r="158" spans="2:8">
      <c r="B158" s="63"/>
      <c r="C158" s="90">
        <v>3</v>
      </c>
      <c r="D158" s="343" t="s">
        <v>238</v>
      </c>
      <c r="E158" s="344"/>
      <c r="F158" s="91" t="s">
        <v>34</v>
      </c>
      <c r="G158" s="92">
        <v>0.2</v>
      </c>
      <c r="H158" s="63"/>
    </row>
    <row r="159" spans="2:8" ht="32.25" customHeight="1">
      <c r="B159" s="63"/>
      <c r="C159" s="90">
        <v>4</v>
      </c>
      <c r="D159" s="335" t="s">
        <v>239</v>
      </c>
      <c r="E159" s="336"/>
      <c r="F159" s="91" t="s">
        <v>34</v>
      </c>
      <c r="G159" s="92">
        <v>2</v>
      </c>
      <c r="H159" s="63"/>
    </row>
    <row r="160" spans="2:8" ht="26.45" customHeight="1">
      <c r="B160" s="63"/>
      <c r="C160" s="90">
        <v>5</v>
      </c>
      <c r="D160" s="341" t="s">
        <v>240</v>
      </c>
      <c r="E160" s="342"/>
      <c r="F160" s="91" t="s">
        <v>34</v>
      </c>
      <c r="G160" s="92">
        <v>1</v>
      </c>
      <c r="H160" s="63"/>
    </row>
    <row r="161" spans="2:8">
      <c r="B161" s="63"/>
      <c r="C161" s="90">
        <v>6</v>
      </c>
      <c r="D161" s="73" t="s">
        <v>241</v>
      </c>
      <c r="E161" s="75"/>
      <c r="F161" s="91" t="s">
        <v>34</v>
      </c>
      <c r="G161" s="92">
        <v>0.2</v>
      </c>
      <c r="H161" s="63"/>
    </row>
    <row r="162" spans="2:8" ht="14.25" customHeight="1">
      <c r="B162" s="63"/>
      <c r="C162" s="90">
        <v>7</v>
      </c>
      <c r="D162" s="335" t="s">
        <v>505</v>
      </c>
      <c r="E162" s="336"/>
      <c r="F162" s="91" t="s">
        <v>39</v>
      </c>
      <c r="G162" s="92">
        <v>2</v>
      </c>
      <c r="H162" s="63"/>
    </row>
    <row r="163" spans="2:8" ht="14.25" customHeight="1">
      <c r="B163" s="63"/>
      <c r="C163" s="90">
        <v>8</v>
      </c>
      <c r="D163" s="335" t="s">
        <v>242</v>
      </c>
      <c r="E163" s="336"/>
      <c r="F163" s="91" t="s">
        <v>39</v>
      </c>
      <c r="G163" s="92">
        <v>1</v>
      </c>
      <c r="H163" s="63"/>
    </row>
    <row r="164" spans="2:8">
      <c r="B164" s="63"/>
      <c r="C164" s="90">
        <v>9</v>
      </c>
      <c r="D164" s="335" t="s">
        <v>243</v>
      </c>
      <c r="E164" s="336"/>
      <c r="F164" s="91" t="s">
        <v>39</v>
      </c>
      <c r="G164" s="92">
        <v>0.5</v>
      </c>
      <c r="H164" s="63"/>
    </row>
    <row r="165" spans="2:8">
      <c r="B165" s="63"/>
      <c r="C165" s="63"/>
      <c r="D165" s="63"/>
      <c r="E165" s="63"/>
      <c r="F165" s="63"/>
      <c r="G165" s="63"/>
      <c r="H165" s="63"/>
    </row>
    <row r="166" spans="2:8">
      <c r="B166" s="63"/>
      <c r="C166" s="63"/>
      <c r="D166" s="63"/>
      <c r="E166" s="63"/>
      <c r="F166" s="63"/>
      <c r="G166" s="63"/>
      <c r="H166" s="63"/>
    </row>
    <row r="167" spans="2:8">
      <c r="B167" s="63" t="s">
        <v>248</v>
      </c>
      <c r="C167" s="63"/>
      <c r="D167" s="63"/>
      <c r="E167" s="63"/>
      <c r="F167" s="63"/>
      <c r="G167" s="63"/>
      <c r="H167" s="63"/>
    </row>
    <row r="168" spans="2:8">
      <c r="B168" s="63"/>
      <c r="C168" s="85" t="s">
        <v>2</v>
      </c>
      <c r="D168" s="337" t="s">
        <v>137</v>
      </c>
      <c r="E168" s="338"/>
      <c r="F168" s="339" t="s">
        <v>156</v>
      </c>
      <c r="G168" s="340"/>
      <c r="H168" s="63"/>
    </row>
    <row r="169" spans="2:8" ht="50.25" customHeight="1">
      <c r="B169" s="63"/>
      <c r="C169" s="327" t="s">
        <v>9</v>
      </c>
      <c r="D169" s="299" t="s">
        <v>250</v>
      </c>
      <c r="E169" s="300"/>
      <c r="F169" s="301">
        <v>2</v>
      </c>
      <c r="G169" s="302"/>
      <c r="H169" s="63"/>
    </row>
    <row r="170" spans="2:8" ht="14.25" customHeight="1">
      <c r="B170" s="63"/>
      <c r="C170" s="328"/>
      <c r="D170" s="295" t="s">
        <v>251</v>
      </c>
      <c r="E170" s="296"/>
      <c r="F170" s="297">
        <v>1</v>
      </c>
      <c r="G170" s="298"/>
      <c r="H170" s="63"/>
    </row>
    <row r="171" spans="2:8">
      <c r="B171" s="63"/>
      <c r="C171" s="90" t="s">
        <v>10</v>
      </c>
      <c r="D171" s="293" t="s">
        <v>244</v>
      </c>
      <c r="E171" s="294"/>
      <c r="F171" s="331">
        <v>1</v>
      </c>
      <c r="G171" s="332"/>
      <c r="H171" s="63"/>
    </row>
    <row r="172" spans="2:8">
      <c r="B172" s="63"/>
      <c r="C172" s="327" t="s">
        <v>11</v>
      </c>
      <c r="D172" s="299" t="s">
        <v>253</v>
      </c>
      <c r="E172" s="300"/>
      <c r="F172" s="301">
        <v>5</v>
      </c>
      <c r="G172" s="302"/>
      <c r="H172" s="63"/>
    </row>
    <row r="173" spans="2:8" ht="26.45" customHeight="1">
      <c r="B173" s="63"/>
      <c r="C173" s="328"/>
      <c r="D173" s="333" t="s">
        <v>252</v>
      </c>
      <c r="E173" s="334"/>
      <c r="F173" s="297">
        <v>2</v>
      </c>
      <c r="G173" s="298"/>
      <c r="H173" s="63"/>
    </row>
    <row r="174" spans="2:8" ht="14.25" customHeight="1">
      <c r="B174" s="63"/>
      <c r="C174" s="90" t="s">
        <v>12</v>
      </c>
      <c r="D174" s="293" t="s">
        <v>246</v>
      </c>
      <c r="E174" s="294"/>
      <c r="F174" s="325" t="s">
        <v>254</v>
      </c>
      <c r="G174" s="326"/>
      <c r="H174" s="63"/>
    </row>
    <row r="175" spans="2:8" ht="27" customHeight="1">
      <c r="B175" s="63"/>
      <c r="C175" s="327" t="s">
        <v>13</v>
      </c>
      <c r="D175" s="321" t="s">
        <v>256</v>
      </c>
      <c r="E175" s="321"/>
      <c r="F175" s="329">
        <v>5</v>
      </c>
      <c r="G175" s="329"/>
      <c r="H175" s="63"/>
    </row>
    <row r="176" spans="2:8">
      <c r="B176" s="63"/>
      <c r="C176" s="328"/>
      <c r="D176" s="330" t="s">
        <v>255</v>
      </c>
      <c r="E176" s="330"/>
      <c r="F176" s="319">
        <v>0.5</v>
      </c>
      <c r="G176" s="319"/>
      <c r="H176" s="63"/>
    </row>
    <row r="177" spans="2:8" ht="14.25" customHeight="1">
      <c r="B177" s="63"/>
      <c r="C177" s="303" t="s">
        <v>14</v>
      </c>
      <c r="D177" s="293" t="s">
        <v>247</v>
      </c>
      <c r="E177" s="320"/>
      <c r="F177" s="320"/>
      <c r="G177" s="294"/>
      <c r="H177" s="63"/>
    </row>
    <row r="178" spans="2:8" ht="14.25" customHeight="1">
      <c r="B178" s="63"/>
      <c r="C178" s="304"/>
      <c r="D178" s="321" t="s">
        <v>258</v>
      </c>
      <c r="E178" s="321"/>
      <c r="F178" s="322" t="s">
        <v>260</v>
      </c>
      <c r="G178" s="322"/>
      <c r="H178" s="63"/>
    </row>
    <row r="179" spans="2:8">
      <c r="B179" s="63"/>
      <c r="C179" s="304"/>
      <c r="D179" s="323" t="s">
        <v>261</v>
      </c>
      <c r="E179" s="323"/>
      <c r="F179" s="324">
        <v>1.5</v>
      </c>
      <c r="G179" s="324"/>
      <c r="H179" s="63"/>
    </row>
    <row r="180" spans="2:8">
      <c r="B180" s="63"/>
      <c r="C180" s="304"/>
      <c r="D180" s="323" t="s">
        <v>257</v>
      </c>
      <c r="E180" s="323"/>
      <c r="F180" s="324">
        <v>1.5</v>
      </c>
      <c r="G180" s="324"/>
      <c r="H180" s="63"/>
    </row>
    <row r="181" spans="2:8">
      <c r="B181" s="63"/>
      <c r="C181" s="304"/>
      <c r="D181" s="323" t="s">
        <v>255</v>
      </c>
      <c r="E181" s="323"/>
      <c r="F181" s="324">
        <v>1.2</v>
      </c>
      <c r="G181" s="324"/>
      <c r="H181" s="63"/>
    </row>
    <row r="182" spans="2:8">
      <c r="B182" s="63"/>
      <c r="C182" s="304"/>
      <c r="D182" s="318" t="s">
        <v>259</v>
      </c>
      <c r="E182" s="318"/>
      <c r="F182" s="319">
        <v>0.5</v>
      </c>
      <c r="G182" s="319"/>
      <c r="H182" s="63"/>
    </row>
    <row r="183" spans="2:8" ht="14.25" customHeight="1">
      <c r="B183" s="63"/>
      <c r="C183" s="304"/>
      <c r="D183" s="299" t="s">
        <v>263</v>
      </c>
      <c r="E183" s="300"/>
      <c r="F183" s="301" t="s">
        <v>264</v>
      </c>
      <c r="G183" s="302"/>
      <c r="H183" s="63"/>
    </row>
    <row r="184" spans="2:8">
      <c r="B184" s="63"/>
      <c r="C184" s="304"/>
      <c r="D184" s="306" t="s">
        <v>261</v>
      </c>
      <c r="E184" s="307"/>
      <c r="F184" s="314">
        <v>1.5</v>
      </c>
      <c r="G184" s="315"/>
      <c r="H184" s="63"/>
    </row>
    <row r="185" spans="2:8">
      <c r="B185" s="63"/>
      <c r="C185" s="304"/>
      <c r="D185" s="306" t="s">
        <v>262</v>
      </c>
      <c r="E185" s="307"/>
      <c r="F185" s="314">
        <v>1.5</v>
      </c>
      <c r="G185" s="315"/>
      <c r="H185" s="63"/>
    </row>
    <row r="186" spans="2:8">
      <c r="B186" s="63"/>
      <c r="C186" s="304"/>
      <c r="D186" s="295" t="s">
        <v>255</v>
      </c>
      <c r="E186" s="296"/>
      <c r="F186" s="297">
        <v>1.2</v>
      </c>
      <c r="G186" s="298"/>
      <c r="H186" s="63"/>
    </row>
    <row r="187" spans="2:8">
      <c r="B187" s="63"/>
      <c r="C187" s="304"/>
      <c r="D187" s="299" t="s">
        <v>265</v>
      </c>
      <c r="E187" s="300"/>
      <c r="F187" s="301" t="s">
        <v>266</v>
      </c>
      <c r="G187" s="302"/>
      <c r="H187" s="63"/>
    </row>
    <row r="188" spans="2:8">
      <c r="B188" s="63"/>
      <c r="C188" s="304"/>
      <c r="D188" s="306" t="s">
        <v>261</v>
      </c>
      <c r="E188" s="307"/>
      <c r="F188" s="314">
        <v>1.5</v>
      </c>
      <c r="G188" s="315"/>
      <c r="H188" s="63"/>
    </row>
    <row r="189" spans="2:8">
      <c r="B189" s="63"/>
      <c r="C189" s="304"/>
      <c r="D189" s="306" t="s">
        <v>257</v>
      </c>
      <c r="E189" s="307"/>
      <c r="F189" s="314">
        <v>1.5</v>
      </c>
      <c r="G189" s="315"/>
      <c r="H189" s="63"/>
    </row>
    <row r="190" spans="2:8">
      <c r="B190" s="63"/>
      <c r="C190" s="304"/>
      <c r="D190" s="295" t="s">
        <v>255</v>
      </c>
      <c r="E190" s="296"/>
      <c r="F190" s="297">
        <v>1.2</v>
      </c>
      <c r="G190" s="298"/>
      <c r="H190" s="63"/>
    </row>
    <row r="191" spans="2:8" ht="14.25" customHeight="1">
      <c r="B191" s="63"/>
      <c r="C191" s="304"/>
      <c r="D191" s="293" t="s">
        <v>267</v>
      </c>
      <c r="E191" s="294"/>
      <c r="F191" s="310" t="s">
        <v>268</v>
      </c>
      <c r="G191" s="311"/>
      <c r="H191" s="63"/>
    </row>
    <row r="192" spans="2:8">
      <c r="B192" s="63"/>
      <c r="C192" s="304"/>
      <c r="D192" s="312" t="s">
        <v>261</v>
      </c>
      <c r="E192" s="313"/>
      <c r="F192" s="301">
        <v>1.5</v>
      </c>
      <c r="G192" s="302"/>
      <c r="H192" s="63"/>
    </row>
    <row r="193" spans="2:8">
      <c r="B193" s="63"/>
      <c r="C193" s="304"/>
      <c r="D193" s="306" t="s">
        <v>257</v>
      </c>
      <c r="E193" s="307"/>
      <c r="F193" s="314">
        <v>1.5</v>
      </c>
      <c r="G193" s="315"/>
      <c r="H193" s="63"/>
    </row>
    <row r="194" spans="2:8">
      <c r="B194" s="63"/>
      <c r="C194" s="305"/>
      <c r="D194" s="295" t="s">
        <v>255</v>
      </c>
      <c r="E194" s="296"/>
      <c r="F194" s="297">
        <v>1.2</v>
      </c>
      <c r="G194" s="298"/>
      <c r="H194" s="63"/>
    </row>
    <row r="195" spans="2:8">
      <c r="B195" s="63"/>
      <c r="C195" s="303" t="s">
        <v>15</v>
      </c>
      <c r="D195" s="299" t="s">
        <v>270</v>
      </c>
      <c r="E195" s="300"/>
      <c r="F195" s="299"/>
      <c r="G195" s="300"/>
      <c r="H195" s="63"/>
    </row>
    <row r="196" spans="2:8">
      <c r="B196" s="63"/>
      <c r="C196" s="304"/>
      <c r="D196" s="306" t="s">
        <v>360</v>
      </c>
      <c r="E196" s="307"/>
      <c r="F196" s="308" t="s">
        <v>361</v>
      </c>
      <c r="G196" s="309"/>
      <c r="H196" s="63"/>
    </row>
    <row r="197" spans="2:8">
      <c r="B197" s="63"/>
      <c r="C197" s="304"/>
      <c r="D197" s="306" t="s">
        <v>360</v>
      </c>
      <c r="E197" s="307"/>
      <c r="F197" s="308" t="s">
        <v>362</v>
      </c>
      <c r="G197" s="309"/>
      <c r="H197" s="63"/>
    </row>
    <row r="198" spans="2:8">
      <c r="B198" s="63"/>
      <c r="C198" s="304"/>
      <c r="D198" s="306" t="s">
        <v>269</v>
      </c>
      <c r="E198" s="307"/>
      <c r="F198" s="308" t="s">
        <v>363</v>
      </c>
      <c r="G198" s="309"/>
      <c r="H198" s="63"/>
    </row>
    <row r="199" spans="2:8">
      <c r="B199" s="63"/>
      <c r="C199" s="304"/>
      <c r="D199" s="306" t="s">
        <v>269</v>
      </c>
      <c r="E199" s="307"/>
      <c r="F199" s="308" t="s">
        <v>364</v>
      </c>
      <c r="G199" s="309"/>
      <c r="H199" s="63"/>
    </row>
    <row r="200" spans="2:8">
      <c r="B200" s="63"/>
      <c r="C200" s="305"/>
      <c r="D200" s="295"/>
      <c r="E200" s="296"/>
      <c r="F200" s="316"/>
      <c r="G200" s="317"/>
      <c r="H200" s="63"/>
    </row>
    <row r="201" spans="2:8" ht="31.5" customHeight="1">
      <c r="B201" s="63"/>
      <c r="C201" s="239" t="s">
        <v>16</v>
      </c>
      <c r="D201" s="293" t="s">
        <v>41</v>
      </c>
      <c r="E201" s="294"/>
      <c r="F201" s="293" t="s">
        <v>245</v>
      </c>
      <c r="G201" s="294"/>
      <c r="H201" s="63"/>
    </row>
    <row r="202" spans="2:8">
      <c r="B202" s="63"/>
      <c r="C202" s="63"/>
      <c r="D202" s="63"/>
      <c r="E202" s="63"/>
      <c r="F202" s="63"/>
      <c r="G202" s="63"/>
      <c r="H202" s="63"/>
    </row>
    <row r="203" spans="2:8">
      <c r="B203" s="63" t="s">
        <v>271</v>
      </c>
      <c r="C203" s="63"/>
      <c r="D203" s="63"/>
      <c r="E203" s="63"/>
      <c r="F203" s="63"/>
      <c r="G203" s="63"/>
      <c r="H203" s="63"/>
    </row>
    <row r="204" spans="2:8" ht="25.5">
      <c r="B204" s="63"/>
      <c r="C204" s="63"/>
      <c r="D204" s="252" t="s">
        <v>40</v>
      </c>
      <c r="E204" s="238" t="s">
        <v>48</v>
      </c>
      <c r="F204" s="238" t="s">
        <v>49</v>
      </c>
      <c r="G204" s="238" t="s">
        <v>50</v>
      </c>
      <c r="H204" s="63"/>
    </row>
    <row r="205" spans="2:8">
      <c r="B205" s="63"/>
      <c r="C205" s="63"/>
      <c r="D205" s="85" t="s">
        <v>42</v>
      </c>
      <c r="E205" s="252">
        <v>35</v>
      </c>
      <c r="F205" s="252">
        <v>24</v>
      </c>
      <c r="G205" s="252" t="s">
        <v>45</v>
      </c>
      <c r="H205" s="63"/>
    </row>
    <row r="206" spans="2:8">
      <c r="B206" s="63"/>
      <c r="C206" s="63"/>
      <c r="D206" s="85" t="s">
        <v>43</v>
      </c>
      <c r="E206" s="252">
        <v>35</v>
      </c>
      <c r="F206" s="252">
        <v>24</v>
      </c>
      <c r="G206" s="252" t="s">
        <v>45</v>
      </c>
      <c r="H206" s="63"/>
    </row>
    <row r="207" spans="2:8">
      <c r="B207" s="63"/>
      <c r="C207" s="63"/>
      <c r="D207" s="85" t="s">
        <v>44</v>
      </c>
      <c r="E207" s="252">
        <v>30</v>
      </c>
      <c r="F207" s="252">
        <v>18</v>
      </c>
      <c r="G207" s="252">
        <v>3</v>
      </c>
      <c r="H207" s="63"/>
    </row>
    <row r="208" spans="2:8">
      <c r="B208" s="63"/>
      <c r="C208" s="63"/>
      <c r="D208" s="85" t="s">
        <v>46</v>
      </c>
      <c r="E208" s="252">
        <v>28</v>
      </c>
      <c r="F208" s="252">
        <v>18</v>
      </c>
      <c r="G208" s="252">
        <v>3</v>
      </c>
      <c r="H208" s="63"/>
    </row>
    <row r="209" spans="2:8">
      <c r="B209" s="63"/>
      <c r="C209" s="63"/>
      <c r="D209" s="85" t="s">
        <v>47</v>
      </c>
      <c r="E209" s="252">
        <v>25</v>
      </c>
      <c r="F209" s="252">
        <v>18</v>
      </c>
      <c r="G209" s="252">
        <v>3</v>
      </c>
      <c r="H209" s="63"/>
    </row>
    <row r="210" spans="2:8" ht="38.25">
      <c r="B210" s="63"/>
      <c r="C210" s="63"/>
      <c r="D210" s="93" t="s">
        <v>365</v>
      </c>
      <c r="E210" s="252">
        <v>23</v>
      </c>
      <c r="F210" s="252">
        <v>12</v>
      </c>
      <c r="G210" s="252">
        <v>6</v>
      </c>
      <c r="H210" s="63"/>
    </row>
    <row r="211" spans="2:8">
      <c r="B211" s="63"/>
      <c r="C211" s="63"/>
      <c r="D211" s="63"/>
      <c r="E211" s="63"/>
      <c r="F211" s="63"/>
      <c r="G211" s="63"/>
      <c r="H211" s="63"/>
    </row>
    <row r="212" spans="2:8">
      <c r="B212" s="63"/>
      <c r="C212" s="63"/>
      <c r="D212" s="63" t="s">
        <v>116</v>
      </c>
      <c r="E212" s="63"/>
      <c r="F212" s="63"/>
      <c r="G212" s="63"/>
      <c r="H212" s="63"/>
    </row>
    <row r="213" spans="2:8" ht="38.25">
      <c r="B213" s="63"/>
      <c r="C213" s="63"/>
      <c r="D213" s="93" t="s">
        <v>90</v>
      </c>
      <c r="E213" s="252">
        <v>18</v>
      </c>
      <c r="F213" s="252">
        <v>12</v>
      </c>
      <c r="G213" s="252">
        <v>6</v>
      </c>
      <c r="H213" s="63"/>
    </row>
  </sheetData>
  <mergeCells count="199">
    <mergeCell ref="A2:H2"/>
    <mergeCell ref="C6:C7"/>
    <mergeCell ref="D6:E7"/>
    <mergeCell ref="F6:F7"/>
    <mergeCell ref="C8:C9"/>
    <mergeCell ref="D8:E9"/>
    <mergeCell ref="E22:G22"/>
    <mergeCell ref="C23:C24"/>
    <mergeCell ref="D23:E23"/>
    <mergeCell ref="D24:E24"/>
    <mergeCell ref="C26:C28"/>
    <mergeCell ref="D26:E26"/>
    <mergeCell ref="D27:E27"/>
    <mergeCell ref="D10:E10"/>
    <mergeCell ref="C13:C14"/>
    <mergeCell ref="D13:E14"/>
    <mergeCell ref="F13:F14"/>
    <mergeCell ref="C19:C21"/>
    <mergeCell ref="D19:E20"/>
    <mergeCell ref="D21:E21"/>
    <mergeCell ref="D39:E39"/>
    <mergeCell ref="D40:E40"/>
    <mergeCell ref="D41:E41"/>
    <mergeCell ref="D42:E42"/>
    <mergeCell ref="D43:G43"/>
    <mergeCell ref="D44:E45"/>
    <mergeCell ref="D29:F29"/>
    <mergeCell ref="C30:C34"/>
    <mergeCell ref="D30:E30"/>
    <mergeCell ref="D31:G31"/>
    <mergeCell ref="D32:E32"/>
    <mergeCell ref="D33:E33"/>
    <mergeCell ref="D34:E34"/>
    <mergeCell ref="C57:C58"/>
    <mergeCell ref="D57:D58"/>
    <mergeCell ref="E57:E58"/>
    <mergeCell ref="C59:C60"/>
    <mergeCell ref="D59:D60"/>
    <mergeCell ref="E59:E60"/>
    <mergeCell ref="D46:G46"/>
    <mergeCell ref="C47:C48"/>
    <mergeCell ref="D47:E48"/>
    <mergeCell ref="C49:C50"/>
    <mergeCell ref="D49:E50"/>
    <mergeCell ref="C55:C56"/>
    <mergeCell ref="D55:E56"/>
    <mergeCell ref="F55:F56"/>
    <mergeCell ref="D71:G71"/>
    <mergeCell ref="C72:C73"/>
    <mergeCell ref="D73:E73"/>
    <mergeCell ref="D74:E74"/>
    <mergeCell ref="D75:E75"/>
    <mergeCell ref="D76:E76"/>
    <mergeCell ref="D65:G65"/>
    <mergeCell ref="C66:C67"/>
    <mergeCell ref="D67:E67"/>
    <mergeCell ref="D68:G68"/>
    <mergeCell ref="C69:C70"/>
    <mergeCell ref="D70:E70"/>
    <mergeCell ref="D85:E85"/>
    <mergeCell ref="D86:E86"/>
    <mergeCell ref="D87:E87"/>
    <mergeCell ref="D88:E88"/>
    <mergeCell ref="D89:E89"/>
    <mergeCell ref="B91:H91"/>
    <mergeCell ref="D77:E77"/>
    <mergeCell ref="D78:E78"/>
    <mergeCell ref="D79:E79"/>
    <mergeCell ref="D80:E80"/>
    <mergeCell ref="B83:H83"/>
    <mergeCell ref="D84:E84"/>
    <mergeCell ref="D100:E100"/>
    <mergeCell ref="D101:E101"/>
    <mergeCell ref="D102:E102"/>
    <mergeCell ref="C106:C107"/>
    <mergeCell ref="D106:E107"/>
    <mergeCell ref="F106:F107"/>
    <mergeCell ref="D94:E94"/>
    <mergeCell ref="D95:E95"/>
    <mergeCell ref="D96:E96"/>
    <mergeCell ref="D97:E97"/>
    <mergeCell ref="D98:E98"/>
    <mergeCell ref="D99:E99"/>
    <mergeCell ref="D116:G116"/>
    <mergeCell ref="C118:C120"/>
    <mergeCell ref="D120:E120"/>
    <mergeCell ref="D123:F123"/>
    <mergeCell ref="E124:F124"/>
    <mergeCell ref="E125:F125"/>
    <mergeCell ref="D109:E109"/>
    <mergeCell ref="D110:E110"/>
    <mergeCell ref="C111:C115"/>
    <mergeCell ref="D111:G111"/>
    <mergeCell ref="D112:D113"/>
    <mergeCell ref="D114:D115"/>
    <mergeCell ref="E132:F132"/>
    <mergeCell ref="E133:F133"/>
    <mergeCell ref="E134:F134"/>
    <mergeCell ref="C135:C136"/>
    <mergeCell ref="D135:D136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D147:E147"/>
    <mergeCell ref="D148:E148"/>
    <mergeCell ref="D149:E149"/>
    <mergeCell ref="D150:E150"/>
    <mergeCell ref="D151:E151"/>
    <mergeCell ref="D156:E156"/>
    <mergeCell ref="E137:F137"/>
    <mergeCell ref="B140:H140"/>
    <mergeCell ref="D143:E143"/>
    <mergeCell ref="D144:E144"/>
    <mergeCell ref="D145:E145"/>
    <mergeCell ref="D146:E146"/>
    <mergeCell ref="D164:E164"/>
    <mergeCell ref="D168:E168"/>
    <mergeCell ref="F168:G168"/>
    <mergeCell ref="C169:C170"/>
    <mergeCell ref="D169:E169"/>
    <mergeCell ref="F169:G169"/>
    <mergeCell ref="D170:E170"/>
    <mergeCell ref="F170:G170"/>
    <mergeCell ref="D157:E157"/>
    <mergeCell ref="D158:E158"/>
    <mergeCell ref="D159:E159"/>
    <mergeCell ref="D160:E160"/>
    <mergeCell ref="D162:E162"/>
    <mergeCell ref="D163:E163"/>
    <mergeCell ref="D174:E174"/>
    <mergeCell ref="F174:G174"/>
    <mergeCell ref="C175:C176"/>
    <mergeCell ref="D175:E175"/>
    <mergeCell ref="F175:G175"/>
    <mergeCell ref="D176:E176"/>
    <mergeCell ref="F176:G176"/>
    <mergeCell ref="D171:E171"/>
    <mergeCell ref="F171:G171"/>
    <mergeCell ref="C172:C173"/>
    <mergeCell ref="D172:E172"/>
    <mergeCell ref="F172:G172"/>
    <mergeCell ref="D173:E173"/>
    <mergeCell ref="F173:G173"/>
    <mergeCell ref="C177:C194"/>
    <mergeCell ref="D177:G177"/>
    <mergeCell ref="D178:E178"/>
    <mergeCell ref="F178:G178"/>
    <mergeCell ref="D179:E179"/>
    <mergeCell ref="F179:G179"/>
    <mergeCell ref="D180:E180"/>
    <mergeCell ref="F180:G180"/>
    <mergeCell ref="D181:E181"/>
    <mergeCell ref="F181:G181"/>
    <mergeCell ref="D188:E188"/>
    <mergeCell ref="F188:G188"/>
    <mergeCell ref="D189:E189"/>
    <mergeCell ref="F189:G189"/>
    <mergeCell ref="D190:E190"/>
    <mergeCell ref="F190:G190"/>
    <mergeCell ref="D185:E185"/>
    <mergeCell ref="F185:G185"/>
    <mergeCell ref="F199:G199"/>
    <mergeCell ref="D200:E200"/>
    <mergeCell ref="F200:G200"/>
    <mergeCell ref="D182:E182"/>
    <mergeCell ref="F182:G182"/>
    <mergeCell ref="D183:E183"/>
    <mergeCell ref="F183:G183"/>
    <mergeCell ref="D184:E184"/>
    <mergeCell ref="F184:G184"/>
    <mergeCell ref="D201:E201"/>
    <mergeCell ref="F201:G201"/>
    <mergeCell ref="D194:E194"/>
    <mergeCell ref="F194:G194"/>
    <mergeCell ref="D186:E186"/>
    <mergeCell ref="F186:G186"/>
    <mergeCell ref="D187:E187"/>
    <mergeCell ref="F187:G187"/>
    <mergeCell ref="C195:C200"/>
    <mergeCell ref="D195:E195"/>
    <mergeCell ref="F195:G195"/>
    <mergeCell ref="D196:E196"/>
    <mergeCell ref="F196:G196"/>
    <mergeCell ref="D197:E197"/>
    <mergeCell ref="F197:G197"/>
    <mergeCell ref="D198:E198"/>
    <mergeCell ref="D191:E191"/>
    <mergeCell ref="F191:G191"/>
    <mergeCell ref="D192:E192"/>
    <mergeCell ref="F192:G192"/>
    <mergeCell ref="D193:E193"/>
    <mergeCell ref="F193:G193"/>
    <mergeCell ref="F198:G198"/>
    <mergeCell ref="D199:E199"/>
  </mergeCells>
  <pageMargins left="0.19685039370078741" right="0.19685039370078741" top="0.39370078740157483" bottom="0.39370078740157483" header="0.31496062992125984" footer="0.31496062992125984"/>
  <pageSetup paperSize="9" scale="85" orientation="portrait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3"/>
  <sheetViews>
    <sheetView tabSelected="1" topLeftCell="A40" zoomScaleNormal="100" workbookViewId="0">
      <selection activeCell="M32" sqref="M32"/>
    </sheetView>
  </sheetViews>
  <sheetFormatPr defaultColWidth="9" defaultRowHeight="14.25"/>
  <cols>
    <col min="1" max="3" width="5.125" style="62" customWidth="1"/>
    <col min="4" max="4" width="39.375" style="62" customWidth="1"/>
    <col min="5" max="5" width="17.125" style="62" customWidth="1"/>
    <col min="6" max="6" width="20" style="62" bestFit="1" customWidth="1"/>
    <col min="7" max="7" width="61.125" style="62" customWidth="1"/>
    <col min="8" max="10" width="9" style="62"/>
    <col min="11" max="25" width="9" style="62" customWidth="1"/>
    <col min="26" max="16384" width="9" style="62"/>
  </cols>
  <sheetData>
    <row r="2" spans="1:18">
      <c r="A2" s="439" t="s">
        <v>370</v>
      </c>
      <c r="B2" s="439"/>
      <c r="C2" s="439"/>
      <c r="D2" s="439"/>
      <c r="E2" s="439"/>
      <c r="F2" s="439"/>
      <c r="G2" s="439"/>
      <c r="H2" s="439"/>
    </row>
    <row r="3" spans="1:18">
      <c r="A3" s="164" t="s">
        <v>371</v>
      </c>
      <c r="B3" s="165"/>
    </row>
    <row r="4" spans="1:18" s="63" customFormat="1" ht="12.75">
      <c r="A4" s="18"/>
      <c r="B4" s="166" t="s">
        <v>372</v>
      </c>
      <c r="L4" s="63" t="s">
        <v>1</v>
      </c>
      <c r="M4" s="63" t="s">
        <v>307</v>
      </c>
      <c r="Q4" s="63" t="s">
        <v>311</v>
      </c>
      <c r="R4" s="63" t="s">
        <v>64</v>
      </c>
    </row>
    <row r="5" spans="1:18" s="63" customFormat="1" ht="12.75">
      <c r="A5" s="18"/>
      <c r="B5" s="166" t="s">
        <v>373</v>
      </c>
      <c r="M5" s="63" t="s">
        <v>55</v>
      </c>
      <c r="R5" s="63" t="s">
        <v>65</v>
      </c>
    </row>
    <row r="6" spans="1:18">
      <c r="C6" s="452" t="s">
        <v>374</v>
      </c>
      <c r="D6" s="456" t="s">
        <v>386</v>
      </c>
      <c r="E6" s="457"/>
      <c r="F6" s="454" t="s">
        <v>376</v>
      </c>
      <c r="G6" s="167" t="s">
        <v>377</v>
      </c>
      <c r="M6" s="62" t="s">
        <v>19</v>
      </c>
      <c r="R6" s="62" t="s">
        <v>66</v>
      </c>
    </row>
    <row r="7" spans="1:18">
      <c r="C7" s="453"/>
      <c r="D7" s="458"/>
      <c r="E7" s="459"/>
      <c r="F7" s="455"/>
      <c r="G7" s="167" t="s">
        <v>378</v>
      </c>
      <c r="M7" s="62" t="s">
        <v>555</v>
      </c>
      <c r="R7" s="62" t="s">
        <v>277</v>
      </c>
    </row>
    <row r="8" spans="1:18">
      <c r="C8" s="355">
        <v>1</v>
      </c>
      <c r="D8" s="440" t="s">
        <v>366</v>
      </c>
      <c r="E8" s="460"/>
      <c r="F8" s="162" t="s">
        <v>368</v>
      </c>
      <c r="G8" s="168" t="s">
        <v>728</v>
      </c>
      <c r="M8" s="62" t="s">
        <v>556</v>
      </c>
      <c r="R8" s="62" t="s">
        <v>127</v>
      </c>
    </row>
    <row r="9" spans="1:18" ht="102">
      <c r="C9" s="356"/>
      <c r="D9" s="474"/>
      <c r="E9" s="475"/>
      <c r="F9" s="163" t="s">
        <v>369</v>
      </c>
      <c r="G9" s="172" t="s">
        <v>385</v>
      </c>
      <c r="M9" s="63" t="s">
        <v>557</v>
      </c>
      <c r="R9" s="62" t="s">
        <v>278</v>
      </c>
    </row>
    <row r="10" spans="1:18">
      <c r="C10" s="66">
        <v>2</v>
      </c>
      <c r="D10" s="402" t="s">
        <v>367</v>
      </c>
      <c r="E10" s="403"/>
      <c r="F10" s="66"/>
      <c r="G10" s="168" t="s">
        <v>729</v>
      </c>
      <c r="M10" s="62" t="s">
        <v>275</v>
      </c>
      <c r="R10" s="62" t="s">
        <v>67</v>
      </c>
    </row>
    <row r="11" spans="1:18">
      <c r="C11" s="67"/>
      <c r="D11" s="68"/>
      <c r="E11" s="68"/>
      <c r="F11" s="67"/>
      <c r="G11" s="67"/>
      <c r="M11" s="62" t="s">
        <v>308</v>
      </c>
      <c r="R11" s="62" t="s">
        <v>68</v>
      </c>
    </row>
    <row r="12" spans="1:18" s="63" customFormat="1">
      <c r="B12" s="166" t="s">
        <v>380</v>
      </c>
      <c r="E12" s="68"/>
      <c r="F12" s="67"/>
      <c r="G12" s="67"/>
      <c r="M12" s="62" t="s">
        <v>71</v>
      </c>
      <c r="R12" s="63" t="s">
        <v>69</v>
      </c>
    </row>
    <row r="13" spans="1:18">
      <c r="C13" s="452" t="s">
        <v>374</v>
      </c>
      <c r="D13" s="456" t="s">
        <v>386</v>
      </c>
      <c r="E13" s="457"/>
      <c r="F13" s="454" t="s">
        <v>376</v>
      </c>
      <c r="G13" s="167" t="s">
        <v>377</v>
      </c>
      <c r="M13" s="62" t="s">
        <v>72</v>
      </c>
      <c r="R13" s="62" t="s">
        <v>313</v>
      </c>
    </row>
    <row r="14" spans="1:18">
      <c r="C14" s="453"/>
      <c r="D14" s="458"/>
      <c r="E14" s="459"/>
      <c r="F14" s="455"/>
      <c r="G14" s="167" t="s">
        <v>378</v>
      </c>
      <c r="M14" s="62" t="s">
        <v>73</v>
      </c>
      <c r="R14" s="62" t="s">
        <v>312</v>
      </c>
    </row>
    <row r="15" spans="1:18">
      <c r="C15" s="169">
        <v>1</v>
      </c>
      <c r="D15" s="275" t="s">
        <v>381</v>
      </c>
      <c r="E15" s="69"/>
      <c r="F15" s="250"/>
      <c r="G15" s="63"/>
      <c r="M15" s="62" t="s">
        <v>74</v>
      </c>
    </row>
    <row r="16" spans="1:18">
      <c r="C16" s="170"/>
      <c r="D16" s="275" t="s">
        <v>382</v>
      </c>
      <c r="E16" s="69"/>
      <c r="F16" s="250"/>
      <c r="G16" s="276" t="s">
        <v>730</v>
      </c>
      <c r="M16" s="62" t="s">
        <v>309</v>
      </c>
    </row>
    <row r="17" spans="1:18">
      <c r="A17" s="62" t="s">
        <v>175</v>
      </c>
      <c r="C17" s="170"/>
      <c r="D17" s="275" t="s">
        <v>383</v>
      </c>
      <c r="E17" s="69"/>
      <c r="F17" s="250"/>
      <c r="G17" s="276" t="s">
        <v>731</v>
      </c>
      <c r="M17" s="62" t="s">
        <v>76</v>
      </c>
      <c r="R17" s="62" t="s">
        <v>315</v>
      </c>
    </row>
    <row r="18" spans="1:18">
      <c r="C18" s="168">
        <v>2</v>
      </c>
      <c r="D18" s="262" t="s">
        <v>732</v>
      </c>
      <c r="E18" s="171"/>
      <c r="F18" s="71"/>
      <c r="G18" s="72"/>
      <c r="M18" s="62" t="s">
        <v>87</v>
      </c>
      <c r="R18" s="62" t="s">
        <v>567</v>
      </c>
    </row>
    <row r="19" spans="1:18">
      <c r="C19" s="462"/>
      <c r="D19" s="440" t="s">
        <v>382</v>
      </c>
      <c r="E19" s="460"/>
      <c r="F19" s="162" t="s">
        <v>368</v>
      </c>
      <c r="G19" s="168" t="s">
        <v>728</v>
      </c>
      <c r="M19" s="62" t="s">
        <v>77</v>
      </c>
      <c r="R19" s="62" t="s">
        <v>568</v>
      </c>
    </row>
    <row r="20" spans="1:18" ht="93.75" customHeight="1">
      <c r="C20" s="463"/>
      <c r="D20" s="441"/>
      <c r="E20" s="461"/>
      <c r="F20" s="163" t="s">
        <v>369</v>
      </c>
      <c r="G20" s="172" t="s">
        <v>385</v>
      </c>
      <c r="M20" s="62" t="s">
        <v>78</v>
      </c>
      <c r="R20" s="62" t="s">
        <v>569</v>
      </c>
    </row>
    <row r="21" spans="1:18">
      <c r="C21" s="464"/>
      <c r="D21" s="402" t="s">
        <v>384</v>
      </c>
      <c r="E21" s="403"/>
      <c r="F21" s="66"/>
      <c r="G21" s="168" t="s">
        <v>379</v>
      </c>
      <c r="M21" s="62" t="s">
        <v>79</v>
      </c>
    </row>
    <row r="22" spans="1:18">
      <c r="C22" s="168">
        <v>3</v>
      </c>
      <c r="D22" s="173" t="s">
        <v>387</v>
      </c>
      <c r="E22" s="465" t="s">
        <v>733</v>
      </c>
      <c r="F22" s="465"/>
      <c r="G22" s="466"/>
      <c r="M22" s="62" t="s">
        <v>80</v>
      </c>
    </row>
    <row r="23" spans="1:18" ht="35.25" customHeight="1">
      <c r="C23" s="444"/>
      <c r="D23" s="402" t="s">
        <v>388</v>
      </c>
      <c r="E23" s="403"/>
      <c r="F23" s="174"/>
      <c r="G23" s="259" t="s">
        <v>389</v>
      </c>
      <c r="M23" s="62" t="s">
        <v>310</v>
      </c>
    </row>
    <row r="24" spans="1:18" ht="35.25" customHeight="1">
      <c r="C24" s="445"/>
      <c r="D24" s="402" t="s">
        <v>390</v>
      </c>
      <c r="E24" s="403"/>
      <c r="F24" s="174"/>
      <c r="G24" s="259" t="s">
        <v>391</v>
      </c>
      <c r="M24" s="62" t="s">
        <v>82</v>
      </c>
    </row>
    <row r="25" spans="1:18">
      <c r="C25" s="168">
        <v>4</v>
      </c>
      <c r="D25" s="173" t="s">
        <v>734</v>
      </c>
      <c r="E25" s="74"/>
      <c r="F25" s="74"/>
      <c r="G25" s="75"/>
      <c r="M25" s="62" t="s">
        <v>61</v>
      </c>
    </row>
    <row r="26" spans="1:18">
      <c r="C26" s="363"/>
      <c r="D26" s="402" t="s">
        <v>392</v>
      </c>
      <c r="E26" s="403"/>
      <c r="F26" s="168"/>
      <c r="G26" s="259" t="s">
        <v>393</v>
      </c>
      <c r="M26" s="62" t="s">
        <v>84</v>
      </c>
    </row>
    <row r="27" spans="1:18">
      <c r="C27" s="382"/>
      <c r="D27" s="402" t="s">
        <v>394</v>
      </c>
      <c r="E27" s="403"/>
      <c r="F27" s="168"/>
      <c r="G27" s="259" t="s">
        <v>395</v>
      </c>
      <c r="M27" s="62" t="s">
        <v>276</v>
      </c>
    </row>
    <row r="28" spans="1:18">
      <c r="C28" s="364"/>
      <c r="D28" s="175" t="s">
        <v>396</v>
      </c>
      <c r="E28" s="255"/>
      <c r="F28" s="258"/>
      <c r="G28" s="240"/>
    </row>
    <row r="29" spans="1:18">
      <c r="C29" s="168">
        <v>5</v>
      </c>
      <c r="D29" s="402" t="s">
        <v>735</v>
      </c>
      <c r="E29" s="486"/>
      <c r="F29" s="486"/>
      <c r="G29" s="176"/>
      <c r="M29" s="62" t="s">
        <v>62</v>
      </c>
    </row>
    <row r="30" spans="1:18">
      <c r="C30" s="444"/>
      <c r="D30" s="402" t="s">
        <v>736</v>
      </c>
      <c r="E30" s="403"/>
      <c r="F30" s="174"/>
      <c r="G30" s="177" t="s">
        <v>737</v>
      </c>
      <c r="M30" s="62" t="s">
        <v>86</v>
      </c>
    </row>
    <row r="31" spans="1:18">
      <c r="C31" s="488"/>
      <c r="D31" s="402" t="s">
        <v>397</v>
      </c>
      <c r="E31" s="486"/>
      <c r="F31" s="486"/>
      <c r="G31" s="486"/>
      <c r="M31" s="62" t="s">
        <v>314</v>
      </c>
    </row>
    <row r="32" spans="1:18">
      <c r="C32" s="488"/>
      <c r="D32" s="402" t="s">
        <v>398</v>
      </c>
      <c r="E32" s="403"/>
      <c r="F32" s="174"/>
      <c r="G32" s="259" t="s">
        <v>399</v>
      </c>
      <c r="M32" s="62" t="s">
        <v>809</v>
      </c>
    </row>
    <row r="33" spans="2:7">
      <c r="C33" s="488"/>
      <c r="D33" s="402" t="s">
        <v>400</v>
      </c>
      <c r="E33" s="403"/>
      <c r="F33" s="174"/>
      <c r="G33" s="259" t="s">
        <v>401</v>
      </c>
    </row>
    <row r="34" spans="2:7">
      <c r="C34" s="445"/>
      <c r="D34" s="491" t="s">
        <v>738</v>
      </c>
      <c r="E34" s="492"/>
      <c r="F34" s="280" t="s">
        <v>739</v>
      </c>
      <c r="G34" s="281" t="s">
        <v>740</v>
      </c>
    </row>
    <row r="35" spans="2:7">
      <c r="C35" s="67"/>
      <c r="D35" s="282"/>
      <c r="E35" s="282"/>
      <c r="F35" s="283" t="s">
        <v>741</v>
      </c>
      <c r="G35" s="284" t="s">
        <v>742</v>
      </c>
    </row>
    <row r="36" spans="2:7">
      <c r="B36" s="166" t="s">
        <v>743</v>
      </c>
      <c r="C36" s="18"/>
      <c r="D36" s="63"/>
      <c r="E36" s="63" t="s">
        <v>744</v>
      </c>
      <c r="F36" s="63"/>
      <c r="G36" s="63"/>
    </row>
    <row r="37" spans="2:7">
      <c r="B37" s="63"/>
      <c r="C37" s="265" t="s">
        <v>374</v>
      </c>
      <c r="D37" s="267" t="s">
        <v>402</v>
      </c>
      <c r="E37" s="268"/>
      <c r="F37" s="178" t="s">
        <v>376</v>
      </c>
      <c r="G37" s="167" t="s">
        <v>377</v>
      </c>
    </row>
    <row r="38" spans="2:7">
      <c r="B38" s="63"/>
      <c r="C38" s="266"/>
      <c r="D38" s="269"/>
      <c r="E38" s="270"/>
      <c r="F38" s="179"/>
      <c r="G38" s="274" t="s">
        <v>378</v>
      </c>
    </row>
    <row r="39" spans="2:7" ht="25.5" customHeight="1">
      <c r="B39" s="63"/>
      <c r="C39" s="266">
        <v>1</v>
      </c>
      <c r="D39" s="400" t="s">
        <v>745</v>
      </c>
      <c r="E39" s="401"/>
      <c r="F39" s="179"/>
      <c r="G39" s="276" t="s">
        <v>403</v>
      </c>
    </row>
    <row r="40" spans="2:7" ht="30" customHeight="1">
      <c r="B40" s="63"/>
      <c r="C40" s="180"/>
      <c r="D40" s="400" t="s">
        <v>746</v>
      </c>
      <c r="E40" s="401"/>
      <c r="F40" s="181"/>
      <c r="G40" s="181" t="s">
        <v>404</v>
      </c>
    </row>
    <row r="41" spans="2:7" ht="28.5" customHeight="1">
      <c r="B41" s="63"/>
      <c r="C41" s="182"/>
      <c r="D41" s="489" t="s">
        <v>747</v>
      </c>
      <c r="E41" s="490"/>
      <c r="F41" s="181"/>
      <c r="G41" s="183" t="s">
        <v>405</v>
      </c>
    </row>
    <row r="42" spans="2:7" ht="30" customHeight="1">
      <c r="B42" s="63"/>
      <c r="C42" s="184"/>
      <c r="D42" s="400" t="s">
        <v>748</v>
      </c>
      <c r="E42" s="401"/>
      <c r="F42" s="181"/>
      <c r="G42" s="183" t="s">
        <v>406</v>
      </c>
    </row>
    <row r="43" spans="2:7" ht="34.5" customHeight="1">
      <c r="B43" s="63"/>
      <c r="C43" s="183">
        <v>2</v>
      </c>
      <c r="D43" s="400" t="s">
        <v>407</v>
      </c>
      <c r="E43" s="487"/>
      <c r="F43" s="487"/>
      <c r="G43" s="401"/>
    </row>
    <row r="44" spans="2:7" ht="17.25" customHeight="1">
      <c r="B44" s="63"/>
      <c r="C44" s="78"/>
      <c r="D44" s="432" t="s">
        <v>408</v>
      </c>
      <c r="E44" s="433"/>
      <c r="F44" s="163" t="s">
        <v>409</v>
      </c>
      <c r="G44" s="168" t="s">
        <v>411</v>
      </c>
    </row>
    <row r="45" spans="2:7" ht="102">
      <c r="B45" s="63"/>
      <c r="C45" s="80"/>
      <c r="D45" s="493"/>
      <c r="E45" s="494"/>
      <c r="F45" s="185" t="s">
        <v>410</v>
      </c>
      <c r="G45" s="172" t="s">
        <v>412</v>
      </c>
    </row>
    <row r="46" spans="2:7" ht="33" customHeight="1">
      <c r="B46" s="63"/>
      <c r="C46" s="252">
        <v>3</v>
      </c>
      <c r="D46" s="400" t="s">
        <v>413</v>
      </c>
      <c r="E46" s="487"/>
      <c r="F46" s="487"/>
      <c r="G46" s="401"/>
    </row>
    <row r="47" spans="2:7" ht="18" customHeight="1">
      <c r="B47" s="63"/>
      <c r="C47" s="355"/>
      <c r="D47" s="432" t="s">
        <v>418</v>
      </c>
      <c r="E47" s="433"/>
      <c r="F47" s="163" t="s">
        <v>368</v>
      </c>
      <c r="G47" s="168" t="s">
        <v>419</v>
      </c>
    </row>
    <row r="48" spans="2:7" ht="102">
      <c r="B48" s="63"/>
      <c r="C48" s="357"/>
      <c r="D48" s="493"/>
      <c r="E48" s="494"/>
      <c r="F48" s="163" t="s">
        <v>369</v>
      </c>
      <c r="G48" s="172" t="s">
        <v>412</v>
      </c>
    </row>
    <row r="49" spans="1:18" ht="18" customHeight="1">
      <c r="B49" s="63"/>
      <c r="C49" s="355"/>
      <c r="D49" s="432" t="s">
        <v>417</v>
      </c>
      <c r="E49" s="433"/>
      <c r="F49" s="163" t="s">
        <v>368</v>
      </c>
      <c r="G49" s="168" t="s">
        <v>420</v>
      </c>
    </row>
    <row r="50" spans="1:18" ht="102">
      <c r="B50" s="63"/>
      <c r="C50" s="357"/>
      <c r="D50" s="493"/>
      <c r="E50" s="494"/>
      <c r="F50" s="163" t="s">
        <v>369</v>
      </c>
      <c r="G50" s="172" t="s">
        <v>421</v>
      </c>
    </row>
    <row r="51" spans="1:18">
      <c r="C51" s="81"/>
      <c r="D51" s="82"/>
      <c r="E51" s="82"/>
      <c r="F51" s="83"/>
      <c r="G51" s="84"/>
    </row>
    <row r="52" spans="1:18" s="63" customFormat="1">
      <c r="A52" s="186" t="s">
        <v>422</v>
      </c>
      <c r="B52" s="18"/>
      <c r="C52" s="18"/>
      <c r="R52" s="62"/>
    </row>
    <row r="53" spans="1:18" s="63" customFormat="1" ht="12.75">
      <c r="A53" s="18"/>
      <c r="B53" s="166" t="s">
        <v>372</v>
      </c>
      <c r="C53" s="18"/>
    </row>
    <row r="54" spans="1:18" s="63" customFormat="1" ht="12.75">
      <c r="A54" s="18"/>
      <c r="B54" s="166" t="s">
        <v>423</v>
      </c>
      <c r="C54" s="18"/>
    </row>
    <row r="55" spans="1:18">
      <c r="B55" s="63"/>
      <c r="C55" s="444" t="s">
        <v>374</v>
      </c>
      <c r="D55" s="446" t="s">
        <v>375</v>
      </c>
      <c r="E55" s="447"/>
      <c r="F55" s="450" t="s">
        <v>376</v>
      </c>
      <c r="G55" s="274" t="s">
        <v>424</v>
      </c>
      <c r="H55" s="63"/>
      <c r="R55" s="63"/>
    </row>
    <row r="56" spans="1:18">
      <c r="B56" s="63"/>
      <c r="C56" s="445"/>
      <c r="D56" s="448"/>
      <c r="E56" s="449"/>
      <c r="F56" s="451"/>
      <c r="G56" s="274" t="s">
        <v>378</v>
      </c>
      <c r="H56" s="63"/>
    </row>
    <row r="57" spans="1:18">
      <c r="B57" s="63"/>
      <c r="C57" s="372">
        <v>1</v>
      </c>
      <c r="D57" s="440" t="s">
        <v>426</v>
      </c>
      <c r="E57" s="375"/>
      <c r="F57" s="163" t="s">
        <v>368</v>
      </c>
      <c r="G57" s="168" t="s">
        <v>749</v>
      </c>
      <c r="H57" s="63"/>
    </row>
    <row r="58" spans="1:18" ht="102">
      <c r="B58" s="63"/>
      <c r="C58" s="372"/>
      <c r="D58" s="441"/>
      <c r="E58" s="376"/>
      <c r="F58" s="163" t="s">
        <v>369</v>
      </c>
      <c r="G58" s="172" t="s">
        <v>428</v>
      </c>
      <c r="H58" s="63"/>
    </row>
    <row r="59" spans="1:18">
      <c r="B59" s="63"/>
      <c r="C59" s="355">
        <v>2</v>
      </c>
      <c r="D59" s="440" t="s">
        <v>427</v>
      </c>
      <c r="E59" s="366"/>
      <c r="F59" s="163" t="s">
        <v>368</v>
      </c>
      <c r="G59" s="168" t="s">
        <v>750</v>
      </c>
      <c r="H59" s="63"/>
    </row>
    <row r="60" spans="1:18" ht="102">
      <c r="B60" s="63"/>
      <c r="C60" s="357"/>
      <c r="D60" s="441"/>
      <c r="E60" s="368"/>
      <c r="F60" s="163" t="s">
        <v>369</v>
      </c>
      <c r="G60" s="172" t="s">
        <v>429</v>
      </c>
      <c r="H60" s="63"/>
    </row>
    <row r="61" spans="1:18">
      <c r="B61" s="63"/>
      <c r="C61" s="66">
        <v>3</v>
      </c>
      <c r="D61" s="173" t="s">
        <v>425</v>
      </c>
      <c r="E61" s="75"/>
      <c r="F61" s="66"/>
      <c r="G61" s="168" t="s">
        <v>729</v>
      </c>
      <c r="H61" s="63"/>
    </row>
    <row r="62" spans="1:18">
      <c r="B62" s="63"/>
      <c r="C62" s="67"/>
      <c r="D62" s="63"/>
      <c r="E62" s="63"/>
      <c r="F62" s="67"/>
      <c r="G62" s="67"/>
      <c r="H62" s="63"/>
    </row>
    <row r="63" spans="1:18">
      <c r="B63" s="18" t="s">
        <v>430</v>
      </c>
      <c r="C63" s="63"/>
      <c r="D63" s="63"/>
      <c r="E63" s="63"/>
      <c r="F63" s="63"/>
      <c r="G63" s="63"/>
      <c r="H63" s="63"/>
    </row>
    <row r="64" spans="1:18">
      <c r="B64" s="63"/>
      <c r="C64" s="187" t="s">
        <v>374</v>
      </c>
      <c r="D64" s="272" t="s">
        <v>375</v>
      </c>
      <c r="E64" s="273"/>
      <c r="F64" s="274"/>
      <c r="G64" s="274" t="s">
        <v>431</v>
      </c>
      <c r="H64" s="63"/>
    </row>
    <row r="65" spans="2:8" ht="20.25" customHeight="1">
      <c r="B65" s="63"/>
      <c r="C65" s="252">
        <v>1</v>
      </c>
      <c r="D65" s="400" t="s">
        <v>751</v>
      </c>
      <c r="E65" s="487"/>
      <c r="F65" s="487"/>
      <c r="G65" s="401"/>
      <c r="H65" s="63"/>
    </row>
    <row r="66" spans="2:8">
      <c r="B66" s="63"/>
      <c r="C66" s="363"/>
      <c r="D66" s="262" t="s">
        <v>432</v>
      </c>
      <c r="E66" s="273"/>
      <c r="F66" s="274"/>
      <c r="G66" s="274" t="s">
        <v>433</v>
      </c>
      <c r="H66" s="63"/>
    </row>
    <row r="67" spans="2:8" ht="15.75" customHeight="1">
      <c r="B67" s="63"/>
      <c r="C67" s="364"/>
      <c r="D67" s="400" t="s">
        <v>434</v>
      </c>
      <c r="E67" s="401"/>
      <c r="F67" s="276"/>
      <c r="G67" s="274" t="s">
        <v>435</v>
      </c>
      <c r="H67" s="63"/>
    </row>
    <row r="68" spans="2:8" ht="20.25" customHeight="1">
      <c r="B68" s="63"/>
      <c r="C68" s="252">
        <v>2</v>
      </c>
      <c r="D68" s="400" t="s">
        <v>436</v>
      </c>
      <c r="E68" s="487"/>
      <c r="F68" s="487"/>
      <c r="G68" s="401"/>
      <c r="H68" s="63"/>
    </row>
    <row r="69" spans="2:8">
      <c r="B69" s="63"/>
      <c r="C69" s="363"/>
      <c r="D69" s="262" t="s">
        <v>437</v>
      </c>
      <c r="E69" s="273"/>
      <c r="F69" s="274"/>
      <c r="G69" s="274" t="s">
        <v>438</v>
      </c>
      <c r="H69" s="63"/>
    </row>
    <row r="70" spans="2:8" ht="15.75" customHeight="1">
      <c r="B70" s="63"/>
      <c r="C70" s="364"/>
      <c r="D70" s="400" t="s">
        <v>439</v>
      </c>
      <c r="E70" s="401"/>
      <c r="F70" s="276"/>
      <c r="G70" s="274" t="s">
        <v>440</v>
      </c>
      <c r="H70" s="63"/>
    </row>
    <row r="71" spans="2:8" ht="20.25" customHeight="1">
      <c r="B71" s="63"/>
      <c r="C71" s="252">
        <v>3</v>
      </c>
      <c r="D71" s="400" t="s">
        <v>444</v>
      </c>
      <c r="E71" s="487"/>
      <c r="F71" s="487"/>
      <c r="G71" s="401"/>
      <c r="H71" s="63"/>
    </row>
    <row r="72" spans="2:8">
      <c r="B72" s="63"/>
      <c r="C72" s="363"/>
      <c r="D72" s="262" t="s">
        <v>445</v>
      </c>
      <c r="E72" s="273"/>
      <c r="F72" s="274"/>
      <c r="G72" s="274" t="s">
        <v>441</v>
      </c>
      <c r="H72" s="63"/>
    </row>
    <row r="73" spans="2:8" ht="15.75" customHeight="1">
      <c r="B73" s="63"/>
      <c r="C73" s="364"/>
      <c r="D73" s="400" t="s">
        <v>446</v>
      </c>
      <c r="E73" s="401"/>
      <c r="F73" s="276"/>
      <c r="G73" s="274" t="s">
        <v>442</v>
      </c>
      <c r="H73" s="63"/>
    </row>
    <row r="74" spans="2:8" ht="34.5" customHeight="1">
      <c r="B74" s="63"/>
      <c r="C74" s="252">
        <v>4</v>
      </c>
      <c r="D74" s="400" t="s">
        <v>752</v>
      </c>
      <c r="E74" s="401"/>
      <c r="F74" s="264"/>
      <c r="G74" s="183" t="s">
        <v>753</v>
      </c>
      <c r="H74" s="63"/>
    </row>
    <row r="75" spans="2:8">
      <c r="B75" s="63"/>
      <c r="C75" s="252">
        <v>5</v>
      </c>
      <c r="D75" s="400" t="s">
        <v>754</v>
      </c>
      <c r="E75" s="401"/>
      <c r="F75" s="264" t="s">
        <v>443</v>
      </c>
      <c r="G75" s="188">
        <v>0.2</v>
      </c>
      <c r="H75" s="63"/>
    </row>
    <row r="76" spans="2:8">
      <c r="B76" s="63"/>
      <c r="C76" s="252">
        <v>6</v>
      </c>
      <c r="D76" s="400" t="s">
        <v>755</v>
      </c>
      <c r="E76" s="401"/>
      <c r="F76" s="264" t="s">
        <v>443</v>
      </c>
      <c r="G76" s="188">
        <v>0.2</v>
      </c>
      <c r="H76" s="63"/>
    </row>
    <row r="77" spans="2:8">
      <c r="B77" s="63"/>
      <c r="C77" s="252">
        <v>7</v>
      </c>
      <c r="D77" s="400" t="s">
        <v>756</v>
      </c>
      <c r="E77" s="401"/>
      <c r="F77" s="264" t="s">
        <v>443</v>
      </c>
      <c r="G77" s="188">
        <v>0.2</v>
      </c>
      <c r="H77" s="63"/>
    </row>
    <row r="78" spans="2:8">
      <c r="B78" s="63"/>
      <c r="C78" s="252">
        <v>8</v>
      </c>
      <c r="D78" s="400" t="s">
        <v>757</v>
      </c>
      <c r="E78" s="401"/>
      <c r="F78" s="264" t="s">
        <v>443</v>
      </c>
      <c r="G78" s="188">
        <v>0.3</v>
      </c>
      <c r="H78" s="63"/>
    </row>
    <row r="79" spans="2:8">
      <c r="B79" s="63"/>
      <c r="C79" s="252">
        <v>9</v>
      </c>
      <c r="D79" s="400" t="s">
        <v>758</v>
      </c>
      <c r="E79" s="401"/>
      <c r="F79" s="264" t="s">
        <v>443</v>
      </c>
      <c r="G79" s="252">
        <v>0.5</v>
      </c>
      <c r="H79" s="63"/>
    </row>
    <row r="80" spans="2:8">
      <c r="B80" s="63"/>
      <c r="C80" s="252">
        <v>10</v>
      </c>
      <c r="D80" s="400" t="s">
        <v>759</v>
      </c>
      <c r="E80" s="401"/>
      <c r="F80" s="264" t="s">
        <v>443</v>
      </c>
      <c r="G80" s="252">
        <v>0.6</v>
      </c>
      <c r="H80" s="63"/>
    </row>
    <row r="81" spans="2:8">
      <c r="B81" s="63"/>
      <c r="C81" s="87"/>
      <c r="D81" s="251"/>
      <c r="E81" s="251"/>
      <c r="F81" s="86"/>
      <c r="G81" s="87"/>
      <c r="H81" s="63"/>
    </row>
    <row r="82" spans="2:8">
      <c r="B82" s="99" t="s">
        <v>760</v>
      </c>
      <c r="C82" s="87"/>
      <c r="D82" s="251"/>
      <c r="E82" s="251"/>
      <c r="F82" s="86"/>
      <c r="G82" s="87"/>
      <c r="H82" s="63"/>
    </row>
    <row r="83" spans="2:8" ht="21" customHeight="1">
      <c r="B83" s="473" t="s">
        <v>761</v>
      </c>
      <c r="C83" s="473"/>
      <c r="D83" s="473"/>
      <c r="E83" s="473"/>
      <c r="F83" s="473"/>
      <c r="G83" s="473"/>
      <c r="H83" s="473"/>
    </row>
    <row r="84" spans="2:8" ht="28.5" customHeight="1">
      <c r="B84" s="63"/>
      <c r="C84" s="63"/>
      <c r="D84" s="471" t="s">
        <v>447</v>
      </c>
      <c r="E84" s="472"/>
      <c r="F84" s="277"/>
      <c r="G84" s="274" t="s">
        <v>448</v>
      </c>
      <c r="H84" s="63"/>
    </row>
    <row r="85" spans="2:8">
      <c r="B85" s="63"/>
      <c r="C85" s="63"/>
      <c r="D85" s="442" t="s">
        <v>28</v>
      </c>
      <c r="E85" s="443"/>
      <c r="F85" s="273"/>
      <c r="G85" s="188">
        <v>7</v>
      </c>
      <c r="H85" s="63"/>
    </row>
    <row r="86" spans="2:8">
      <c r="B86" s="63"/>
      <c r="C86" s="63"/>
      <c r="D86" s="442" t="s">
        <v>29</v>
      </c>
      <c r="E86" s="443"/>
      <c r="F86" s="273"/>
      <c r="G86" s="188">
        <v>5</v>
      </c>
      <c r="H86" s="63"/>
    </row>
    <row r="87" spans="2:8">
      <c r="B87" s="63"/>
      <c r="C87" s="63"/>
      <c r="D87" s="442" t="s">
        <v>30</v>
      </c>
      <c r="E87" s="443"/>
      <c r="F87" s="273"/>
      <c r="G87" s="188">
        <v>3</v>
      </c>
      <c r="H87" s="63"/>
    </row>
    <row r="88" spans="2:8">
      <c r="B88" s="63"/>
      <c r="C88" s="63"/>
      <c r="D88" s="442" t="s">
        <v>31</v>
      </c>
      <c r="E88" s="443"/>
      <c r="F88" s="273"/>
      <c r="G88" s="188">
        <v>2</v>
      </c>
      <c r="H88" s="63"/>
    </row>
    <row r="89" spans="2:8">
      <c r="B89" s="63"/>
      <c r="C89" s="63"/>
      <c r="D89" s="442" t="s">
        <v>32</v>
      </c>
      <c r="E89" s="443"/>
      <c r="F89" s="273"/>
      <c r="G89" s="188">
        <v>1</v>
      </c>
      <c r="H89" s="63"/>
    </row>
    <row r="90" spans="2:8">
      <c r="B90" s="63"/>
      <c r="C90" s="63"/>
      <c r="D90" s="97"/>
      <c r="E90" s="97"/>
      <c r="F90" s="98"/>
      <c r="G90" s="98"/>
      <c r="H90" s="63"/>
    </row>
    <row r="91" spans="2:8" ht="29.25" customHeight="1">
      <c r="B91" s="473" t="s">
        <v>762</v>
      </c>
      <c r="C91" s="473"/>
      <c r="D91" s="473"/>
      <c r="E91" s="473"/>
      <c r="F91" s="473"/>
      <c r="G91" s="473"/>
      <c r="H91" s="473"/>
    </row>
    <row r="92" spans="2:8" ht="24.75" customHeight="1">
      <c r="B92" s="166" t="s">
        <v>763</v>
      </c>
      <c r="C92" s="18"/>
      <c r="D92" s="189"/>
      <c r="E92" s="189"/>
      <c r="F92" s="190"/>
      <c r="G92" s="190"/>
      <c r="H92" s="18"/>
    </row>
    <row r="93" spans="2:8">
      <c r="B93" s="166"/>
      <c r="C93" s="18"/>
      <c r="D93" s="189"/>
      <c r="E93" s="189"/>
      <c r="F93" s="190"/>
      <c r="G93" s="190"/>
      <c r="H93" s="18"/>
    </row>
    <row r="94" spans="2:8">
      <c r="B94" s="18"/>
      <c r="C94" s="18"/>
      <c r="D94" s="476" t="s">
        <v>449</v>
      </c>
      <c r="E94" s="477"/>
      <c r="F94" s="277"/>
      <c r="G94" s="276" t="s">
        <v>448</v>
      </c>
      <c r="H94" s="18"/>
    </row>
    <row r="95" spans="2:8">
      <c r="B95" s="18"/>
      <c r="C95" s="18"/>
      <c r="D95" s="430" t="s">
        <v>450</v>
      </c>
      <c r="E95" s="431"/>
      <c r="F95" s="273"/>
      <c r="G95" s="183">
        <v>12</v>
      </c>
      <c r="H95" s="18"/>
    </row>
    <row r="96" spans="2:8">
      <c r="B96" s="18"/>
      <c r="C96" s="18"/>
      <c r="D96" s="430" t="s">
        <v>451</v>
      </c>
      <c r="E96" s="431"/>
      <c r="F96" s="273"/>
      <c r="G96" s="183">
        <v>10</v>
      </c>
      <c r="H96" s="18"/>
    </row>
    <row r="97" spans="2:8">
      <c r="B97" s="18"/>
      <c r="C97" s="18"/>
      <c r="D97" s="430" t="s">
        <v>452</v>
      </c>
      <c r="E97" s="431"/>
      <c r="F97" s="273"/>
      <c r="G97" s="183">
        <v>8</v>
      </c>
      <c r="H97" s="18"/>
    </row>
    <row r="98" spans="2:8">
      <c r="B98" s="18"/>
      <c r="C98" s="18"/>
      <c r="D98" s="430" t="s">
        <v>453</v>
      </c>
      <c r="E98" s="431"/>
      <c r="F98" s="273"/>
      <c r="G98" s="183">
        <v>7</v>
      </c>
      <c r="H98" s="18"/>
    </row>
    <row r="99" spans="2:8">
      <c r="B99" s="18"/>
      <c r="C99" s="18"/>
      <c r="D99" s="430" t="s">
        <v>454</v>
      </c>
      <c r="E99" s="431"/>
      <c r="F99" s="273"/>
      <c r="G99" s="183">
        <v>5</v>
      </c>
      <c r="H99" s="18"/>
    </row>
    <row r="100" spans="2:8">
      <c r="B100" s="18"/>
      <c r="C100" s="18"/>
      <c r="D100" s="430" t="s">
        <v>455</v>
      </c>
      <c r="E100" s="431"/>
      <c r="F100" s="273"/>
      <c r="G100" s="183">
        <v>3</v>
      </c>
      <c r="H100" s="18"/>
    </row>
    <row r="101" spans="2:8">
      <c r="B101" s="18"/>
      <c r="C101" s="18"/>
      <c r="D101" s="430" t="s">
        <v>456</v>
      </c>
      <c r="E101" s="431"/>
      <c r="F101" s="273"/>
      <c r="G101" s="183">
        <v>2</v>
      </c>
      <c r="H101" s="18"/>
    </row>
    <row r="102" spans="2:8">
      <c r="B102" s="18"/>
      <c r="C102" s="18"/>
      <c r="D102" s="430" t="s">
        <v>457</v>
      </c>
      <c r="E102" s="431"/>
      <c r="F102" s="273"/>
      <c r="G102" s="183">
        <v>1</v>
      </c>
      <c r="H102" s="18"/>
    </row>
    <row r="103" spans="2:8">
      <c r="C103" s="63"/>
      <c r="D103" s="97"/>
      <c r="E103" s="97"/>
      <c r="F103" s="98"/>
      <c r="G103" s="98"/>
      <c r="H103" s="63"/>
    </row>
    <row r="104" spans="2:8">
      <c r="B104" s="166" t="s">
        <v>458</v>
      </c>
      <c r="C104" s="63"/>
      <c r="D104" s="86"/>
      <c r="E104" s="86"/>
      <c r="F104" s="87"/>
      <c r="G104" s="87"/>
      <c r="H104" s="63"/>
    </row>
    <row r="105" spans="2:8" ht="16.5" customHeight="1">
      <c r="C105" s="63"/>
      <c r="D105" s="86"/>
      <c r="E105" s="86"/>
      <c r="F105" s="191" t="s">
        <v>764</v>
      </c>
      <c r="G105" s="87"/>
      <c r="H105" s="63"/>
    </row>
    <row r="106" spans="2:8" ht="16.5" customHeight="1">
      <c r="B106" s="63"/>
      <c r="C106" s="444" t="s">
        <v>2</v>
      </c>
      <c r="D106" s="446" t="s">
        <v>459</v>
      </c>
      <c r="E106" s="447"/>
      <c r="F106" s="450" t="s">
        <v>460</v>
      </c>
      <c r="G106" s="274" t="s">
        <v>448</v>
      </c>
      <c r="H106" s="63"/>
    </row>
    <row r="107" spans="2:8" ht="16.5" customHeight="1">
      <c r="B107" s="63"/>
      <c r="C107" s="445"/>
      <c r="D107" s="448"/>
      <c r="E107" s="449"/>
      <c r="F107" s="451"/>
      <c r="G107" s="274" t="s">
        <v>378</v>
      </c>
      <c r="H107" s="63"/>
    </row>
    <row r="108" spans="2:8" ht="16.5" customHeight="1">
      <c r="B108" s="63"/>
      <c r="C108" s="188">
        <v>3</v>
      </c>
      <c r="D108" s="263" t="s">
        <v>765</v>
      </c>
      <c r="E108" s="271"/>
      <c r="F108" s="163"/>
      <c r="G108" s="168" t="s">
        <v>461</v>
      </c>
      <c r="H108" s="63"/>
    </row>
    <row r="109" spans="2:8" ht="67.5" customHeight="1">
      <c r="B109" s="63"/>
      <c r="C109" s="192">
        <v>4</v>
      </c>
      <c r="D109" s="400" t="s">
        <v>462</v>
      </c>
      <c r="E109" s="401"/>
      <c r="F109" s="261" t="s">
        <v>463</v>
      </c>
      <c r="G109" s="193" t="s">
        <v>766</v>
      </c>
      <c r="H109" s="63"/>
    </row>
    <row r="110" spans="2:8" ht="54.75" customHeight="1">
      <c r="B110" s="63"/>
      <c r="C110" s="192">
        <v>5</v>
      </c>
      <c r="D110" s="400" t="s">
        <v>464</v>
      </c>
      <c r="E110" s="401"/>
      <c r="F110" s="181" t="s">
        <v>465</v>
      </c>
      <c r="G110" s="183" t="s">
        <v>466</v>
      </c>
      <c r="H110" s="63"/>
    </row>
    <row r="111" spans="2:8" ht="20.25" customHeight="1">
      <c r="B111" s="63"/>
      <c r="C111" s="355">
        <v>6</v>
      </c>
      <c r="D111" s="400" t="s">
        <v>467</v>
      </c>
      <c r="E111" s="487"/>
      <c r="F111" s="487"/>
      <c r="G111" s="487"/>
      <c r="H111" s="63"/>
    </row>
    <row r="112" spans="2:8" ht="25.5" customHeight="1">
      <c r="B112" s="63"/>
      <c r="C112" s="356"/>
      <c r="D112" s="502" t="s">
        <v>468</v>
      </c>
      <c r="E112" s="195" t="s">
        <v>470</v>
      </c>
      <c r="F112" s="437" t="s">
        <v>465</v>
      </c>
      <c r="G112" s="183" t="s">
        <v>472</v>
      </c>
      <c r="H112" s="63"/>
    </row>
    <row r="113" spans="2:8" ht="25.5" customHeight="1">
      <c r="B113" s="63"/>
      <c r="C113" s="356"/>
      <c r="D113" s="503"/>
      <c r="E113" s="196" t="s">
        <v>471</v>
      </c>
      <c r="F113" s="438"/>
      <c r="G113" s="183" t="s">
        <v>466</v>
      </c>
      <c r="H113" s="63"/>
    </row>
    <row r="114" spans="2:8" ht="25.5" customHeight="1">
      <c r="B114" s="63"/>
      <c r="C114" s="356"/>
      <c r="D114" s="502" t="s">
        <v>469</v>
      </c>
      <c r="E114" s="195" t="s">
        <v>470</v>
      </c>
      <c r="F114" s="437" t="s">
        <v>465</v>
      </c>
      <c r="G114" s="183" t="s">
        <v>473</v>
      </c>
      <c r="H114" s="63"/>
    </row>
    <row r="115" spans="2:8" ht="25.5" customHeight="1">
      <c r="B115" s="63"/>
      <c r="C115" s="357"/>
      <c r="D115" s="503"/>
      <c r="E115" s="196" t="s">
        <v>471</v>
      </c>
      <c r="F115" s="438"/>
      <c r="G115" s="183" t="s">
        <v>474</v>
      </c>
      <c r="H115" s="63"/>
    </row>
    <row r="116" spans="2:8" ht="22.5" customHeight="1">
      <c r="B116" s="63"/>
      <c r="C116" s="241">
        <v>7</v>
      </c>
      <c r="D116" s="400" t="s">
        <v>475</v>
      </c>
      <c r="E116" s="487"/>
      <c r="F116" s="487"/>
      <c r="G116" s="401"/>
      <c r="H116" s="63"/>
    </row>
    <row r="117" spans="2:8" ht="22.5" customHeight="1">
      <c r="B117" s="63"/>
      <c r="C117" s="241"/>
      <c r="D117" s="194" t="s">
        <v>649</v>
      </c>
      <c r="E117" s="240"/>
      <c r="F117" s="181" t="s">
        <v>465</v>
      </c>
      <c r="G117" s="183" t="s">
        <v>472</v>
      </c>
      <c r="H117" s="63"/>
    </row>
    <row r="118" spans="2:8" ht="23.25" customHeight="1">
      <c r="B118" s="63"/>
      <c r="C118" s="355"/>
      <c r="D118" s="259" t="s">
        <v>476</v>
      </c>
      <c r="E118" s="260"/>
      <c r="F118" s="181" t="s">
        <v>465</v>
      </c>
      <c r="G118" s="183" t="s">
        <v>473</v>
      </c>
      <c r="H118" s="63"/>
    </row>
    <row r="119" spans="2:8" ht="20.25" customHeight="1">
      <c r="B119" s="63"/>
      <c r="C119" s="356"/>
      <c r="D119" s="259" t="s">
        <v>477</v>
      </c>
      <c r="E119" s="260"/>
      <c r="F119" s="181" t="s">
        <v>465</v>
      </c>
      <c r="G119" s="183" t="s">
        <v>472</v>
      </c>
      <c r="H119" s="63"/>
    </row>
    <row r="120" spans="2:8" ht="20.25" customHeight="1">
      <c r="B120" s="63"/>
      <c r="C120" s="357"/>
      <c r="D120" s="400" t="s">
        <v>478</v>
      </c>
      <c r="E120" s="401"/>
      <c r="F120" s="181" t="s">
        <v>465</v>
      </c>
      <c r="G120" s="183" t="s">
        <v>473</v>
      </c>
      <c r="H120" s="63"/>
    </row>
    <row r="121" spans="2:8">
      <c r="B121" s="63"/>
      <c r="C121" s="63"/>
      <c r="D121" s="63"/>
      <c r="E121" s="63"/>
      <c r="F121" s="63"/>
      <c r="G121" s="63"/>
      <c r="H121" s="63"/>
    </row>
    <row r="122" spans="2:8">
      <c r="B122" s="166" t="s">
        <v>767</v>
      </c>
      <c r="C122" s="63"/>
      <c r="D122" s="63"/>
      <c r="E122" s="63"/>
      <c r="F122" s="63"/>
      <c r="G122" s="63"/>
      <c r="H122" s="63"/>
    </row>
    <row r="123" spans="2:8">
      <c r="B123" s="63"/>
      <c r="C123" s="197" t="s">
        <v>374</v>
      </c>
      <c r="D123" s="434" t="s">
        <v>459</v>
      </c>
      <c r="E123" s="435"/>
      <c r="F123" s="436"/>
      <c r="G123" s="276" t="s">
        <v>479</v>
      </c>
      <c r="H123" s="63"/>
    </row>
    <row r="124" spans="2:8">
      <c r="B124" s="63"/>
      <c r="C124" s="181">
        <v>1</v>
      </c>
      <c r="D124" s="198" t="s">
        <v>480</v>
      </c>
      <c r="E124" s="432" t="s">
        <v>481</v>
      </c>
      <c r="F124" s="433"/>
      <c r="G124" s="168">
        <v>2</v>
      </c>
      <c r="H124" s="63"/>
    </row>
    <row r="125" spans="2:8">
      <c r="B125" s="63"/>
      <c r="C125" s="181">
        <v>2</v>
      </c>
      <c r="D125" s="199" t="s">
        <v>482</v>
      </c>
      <c r="E125" s="432" t="s">
        <v>481</v>
      </c>
      <c r="F125" s="433"/>
      <c r="G125" s="183">
        <v>1</v>
      </c>
      <c r="H125" s="63"/>
    </row>
    <row r="126" spans="2:8" ht="25.5">
      <c r="B126" s="63"/>
      <c r="C126" s="181">
        <v>3</v>
      </c>
      <c r="D126" s="199" t="s">
        <v>768</v>
      </c>
      <c r="E126" s="432" t="s">
        <v>481</v>
      </c>
      <c r="F126" s="433"/>
      <c r="G126" s="183">
        <v>0.2</v>
      </c>
      <c r="H126" s="63"/>
    </row>
    <row r="127" spans="2:8" ht="26.25" customHeight="1">
      <c r="B127" s="63"/>
      <c r="C127" s="181">
        <v>4</v>
      </c>
      <c r="D127" s="199" t="s">
        <v>769</v>
      </c>
      <c r="E127" s="432" t="s">
        <v>481</v>
      </c>
      <c r="F127" s="433"/>
      <c r="G127" s="183">
        <v>0.3</v>
      </c>
      <c r="H127" s="63"/>
    </row>
    <row r="128" spans="2:8" ht="26.25" customHeight="1">
      <c r="B128" s="63"/>
      <c r="C128" s="239">
        <v>5</v>
      </c>
      <c r="D128" s="199" t="s">
        <v>770</v>
      </c>
      <c r="E128" s="432" t="s">
        <v>481</v>
      </c>
      <c r="F128" s="433"/>
      <c r="G128" s="252">
        <v>0.5</v>
      </c>
      <c r="H128" s="63"/>
    </row>
    <row r="129" spans="2:8" ht="26.25" customHeight="1">
      <c r="B129" s="63"/>
      <c r="C129" s="239">
        <v>6</v>
      </c>
      <c r="D129" s="199" t="s">
        <v>771</v>
      </c>
      <c r="E129" s="432" t="s">
        <v>481</v>
      </c>
      <c r="F129" s="433"/>
      <c r="G129" s="252">
        <v>0.6</v>
      </c>
      <c r="H129" s="63"/>
    </row>
    <row r="130" spans="2:8" ht="25.5" customHeight="1">
      <c r="B130" s="63"/>
      <c r="C130" s="239">
        <v>7</v>
      </c>
      <c r="D130" s="199" t="s">
        <v>772</v>
      </c>
      <c r="E130" s="432" t="s">
        <v>487</v>
      </c>
      <c r="F130" s="433"/>
      <c r="G130" s="183">
        <v>1</v>
      </c>
      <c r="H130" s="63"/>
    </row>
    <row r="131" spans="2:8" ht="14.25" customHeight="1">
      <c r="B131" s="63"/>
      <c r="C131" s="239">
        <v>8</v>
      </c>
      <c r="D131" s="199" t="s">
        <v>773</v>
      </c>
      <c r="E131" s="432" t="s">
        <v>488</v>
      </c>
      <c r="F131" s="433"/>
      <c r="G131" s="183">
        <v>5</v>
      </c>
      <c r="H131" s="63"/>
    </row>
    <row r="132" spans="2:8" ht="14.25" customHeight="1">
      <c r="B132" s="63"/>
      <c r="C132" s="239">
        <v>9</v>
      </c>
      <c r="D132" s="199" t="s">
        <v>774</v>
      </c>
      <c r="E132" s="432" t="s">
        <v>488</v>
      </c>
      <c r="F132" s="433"/>
      <c r="G132" s="183">
        <v>3</v>
      </c>
      <c r="H132" s="63"/>
    </row>
    <row r="133" spans="2:8" ht="30" customHeight="1">
      <c r="B133" s="63"/>
      <c r="C133" s="239">
        <v>10</v>
      </c>
      <c r="D133" s="199" t="s">
        <v>483</v>
      </c>
      <c r="E133" s="432" t="s">
        <v>489</v>
      </c>
      <c r="F133" s="433"/>
      <c r="G133" s="183">
        <v>0.15</v>
      </c>
      <c r="H133" s="63"/>
    </row>
    <row r="134" spans="2:8" ht="14.25" customHeight="1">
      <c r="B134" s="63"/>
      <c r="C134" s="239">
        <v>11</v>
      </c>
      <c r="D134" s="199" t="s">
        <v>484</v>
      </c>
      <c r="E134" s="432" t="s">
        <v>489</v>
      </c>
      <c r="F134" s="433"/>
      <c r="G134" s="183">
        <v>0.3</v>
      </c>
      <c r="H134" s="63"/>
    </row>
    <row r="135" spans="2:8" ht="33.75" customHeight="1">
      <c r="B135" s="63"/>
      <c r="C135" s="351">
        <v>12</v>
      </c>
      <c r="D135" s="469" t="s">
        <v>485</v>
      </c>
      <c r="E135" s="432" t="s">
        <v>775</v>
      </c>
      <c r="F135" s="433"/>
      <c r="G135" s="183">
        <v>0.5</v>
      </c>
      <c r="H135" s="63"/>
    </row>
    <row r="136" spans="2:8" ht="36.75" customHeight="1">
      <c r="B136" s="63"/>
      <c r="C136" s="351"/>
      <c r="D136" s="470"/>
      <c r="E136" s="432" t="s">
        <v>776</v>
      </c>
      <c r="F136" s="433"/>
      <c r="G136" s="183">
        <v>0.2</v>
      </c>
      <c r="H136" s="63"/>
    </row>
    <row r="137" spans="2:8" ht="36.75" customHeight="1">
      <c r="B137" s="63"/>
      <c r="C137" s="239">
        <v>13</v>
      </c>
      <c r="D137" s="199" t="s">
        <v>486</v>
      </c>
      <c r="E137" s="400"/>
      <c r="F137" s="401"/>
      <c r="G137" s="183" t="s">
        <v>777</v>
      </c>
      <c r="H137" s="63"/>
    </row>
    <row r="138" spans="2:8">
      <c r="B138" s="63"/>
      <c r="C138" s="63"/>
      <c r="D138" s="63"/>
      <c r="E138" s="63"/>
      <c r="F138" s="63"/>
      <c r="G138" s="63"/>
      <c r="H138" s="63"/>
    </row>
    <row r="139" spans="2:8">
      <c r="B139" s="63"/>
      <c r="C139" s="63"/>
      <c r="D139" s="63"/>
      <c r="E139" s="63"/>
      <c r="F139" s="63"/>
      <c r="G139" s="63"/>
      <c r="H139" s="63"/>
    </row>
    <row r="140" spans="2:8" ht="14.25" customHeight="1">
      <c r="B140" s="473" t="s">
        <v>778</v>
      </c>
      <c r="C140" s="473"/>
      <c r="D140" s="473"/>
      <c r="E140" s="473"/>
      <c r="F140" s="473"/>
      <c r="G140" s="473"/>
      <c r="H140" s="473"/>
    </row>
    <row r="141" spans="2:8">
      <c r="B141" s="166" t="s">
        <v>779</v>
      </c>
      <c r="C141" s="18"/>
      <c r="D141" s="189"/>
      <c r="E141" s="189"/>
      <c r="F141" s="190"/>
      <c r="G141" s="190"/>
      <c r="H141" s="18"/>
    </row>
    <row r="142" spans="2:8">
      <c r="B142" s="166"/>
      <c r="C142" s="18"/>
      <c r="D142" s="189"/>
      <c r="E142" s="189"/>
      <c r="F142" s="190"/>
      <c r="G142" s="190"/>
      <c r="H142" s="18"/>
    </row>
    <row r="143" spans="2:8">
      <c r="B143" s="18"/>
      <c r="C143" s="18"/>
      <c r="D143" s="476" t="s">
        <v>490</v>
      </c>
      <c r="E143" s="477"/>
      <c r="F143" s="276" t="s">
        <v>448</v>
      </c>
      <c r="G143" s="18"/>
      <c r="H143" s="165"/>
    </row>
    <row r="144" spans="2:8">
      <c r="B144" s="18"/>
      <c r="C144" s="18"/>
      <c r="D144" s="430" t="s">
        <v>491</v>
      </c>
      <c r="E144" s="431"/>
      <c r="F144" s="183">
        <v>12</v>
      </c>
      <c r="G144" s="18"/>
      <c r="H144" s="165"/>
    </row>
    <row r="145" spans="2:8">
      <c r="B145" s="18"/>
      <c r="C145" s="18"/>
      <c r="D145" s="430" t="s">
        <v>451</v>
      </c>
      <c r="E145" s="431"/>
      <c r="F145" s="183">
        <v>10</v>
      </c>
      <c r="G145" s="18"/>
      <c r="H145" s="165"/>
    </row>
    <row r="146" spans="2:8">
      <c r="B146" s="18"/>
      <c r="C146" s="18"/>
      <c r="D146" s="430" t="s">
        <v>452</v>
      </c>
      <c r="E146" s="431"/>
      <c r="F146" s="183">
        <v>8</v>
      </c>
      <c r="G146" s="18"/>
      <c r="H146" s="165"/>
    </row>
    <row r="147" spans="2:8">
      <c r="B147" s="18"/>
      <c r="C147" s="18"/>
      <c r="D147" s="430" t="s">
        <v>453</v>
      </c>
      <c r="E147" s="431"/>
      <c r="F147" s="183">
        <v>7</v>
      </c>
      <c r="G147" s="18"/>
      <c r="H147" s="165"/>
    </row>
    <row r="148" spans="2:8">
      <c r="B148" s="18"/>
      <c r="C148" s="18"/>
      <c r="D148" s="430" t="s">
        <v>454</v>
      </c>
      <c r="E148" s="431"/>
      <c r="F148" s="183">
        <v>5</v>
      </c>
      <c r="G148" s="18"/>
      <c r="H148" s="165"/>
    </row>
    <row r="149" spans="2:8">
      <c r="B149" s="18"/>
      <c r="C149" s="18"/>
      <c r="D149" s="430" t="s">
        <v>455</v>
      </c>
      <c r="E149" s="431"/>
      <c r="F149" s="183">
        <v>3</v>
      </c>
      <c r="G149" s="18"/>
      <c r="H149" s="165"/>
    </row>
    <row r="150" spans="2:8">
      <c r="B150" s="18"/>
      <c r="C150" s="18"/>
      <c r="D150" s="430" t="s">
        <v>456</v>
      </c>
      <c r="E150" s="431"/>
      <c r="F150" s="183">
        <v>2</v>
      </c>
      <c r="G150" s="18"/>
      <c r="H150" s="165"/>
    </row>
    <row r="151" spans="2:8">
      <c r="B151" s="18"/>
      <c r="C151" s="18"/>
      <c r="D151" s="430" t="s">
        <v>492</v>
      </c>
      <c r="E151" s="431"/>
      <c r="F151" s="183">
        <v>1</v>
      </c>
      <c r="G151" s="18"/>
      <c r="H151" s="165"/>
    </row>
    <row r="152" spans="2:8">
      <c r="B152" s="63"/>
      <c r="C152" s="63"/>
      <c r="D152" s="63"/>
      <c r="E152" s="63"/>
      <c r="F152" s="63"/>
      <c r="G152" s="63"/>
      <c r="H152" s="63"/>
    </row>
    <row r="153" spans="2:8">
      <c r="B153" s="63"/>
      <c r="C153" s="63"/>
      <c r="D153" s="63"/>
      <c r="E153" s="63"/>
      <c r="F153" s="63"/>
      <c r="G153" s="63"/>
      <c r="H153" s="63"/>
    </row>
    <row r="154" spans="2:8">
      <c r="B154" s="166" t="s">
        <v>780</v>
      </c>
      <c r="C154" s="166"/>
      <c r="D154" s="166"/>
      <c r="E154" s="166"/>
      <c r="F154" s="166"/>
      <c r="G154" s="166"/>
      <c r="H154" s="63"/>
    </row>
    <row r="155" spans="2:8">
      <c r="B155" s="166"/>
      <c r="C155" s="197" t="s">
        <v>2</v>
      </c>
      <c r="D155" s="200" t="s">
        <v>137</v>
      </c>
      <c r="E155" s="201"/>
      <c r="F155" s="202"/>
      <c r="G155" s="276" t="s">
        <v>493</v>
      </c>
      <c r="H155" s="63"/>
    </row>
    <row r="156" spans="2:8" ht="26.45" customHeight="1">
      <c r="B156" s="166"/>
      <c r="C156" s="185">
        <v>1</v>
      </c>
      <c r="D156" s="400" t="s">
        <v>494</v>
      </c>
      <c r="E156" s="401"/>
      <c r="F156" s="203" t="s">
        <v>481</v>
      </c>
      <c r="G156" s="204">
        <v>2</v>
      </c>
      <c r="H156" s="63"/>
    </row>
    <row r="157" spans="2:8" ht="26.45" customHeight="1">
      <c r="B157" s="166"/>
      <c r="C157" s="185">
        <v>2</v>
      </c>
      <c r="D157" s="400" t="s">
        <v>495</v>
      </c>
      <c r="E157" s="401"/>
      <c r="F157" s="203" t="s">
        <v>481</v>
      </c>
      <c r="G157" s="204">
        <v>1</v>
      </c>
      <c r="H157" s="63"/>
    </row>
    <row r="158" spans="2:8">
      <c r="B158" s="166"/>
      <c r="C158" s="185">
        <v>3</v>
      </c>
      <c r="D158" s="402" t="s">
        <v>496</v>
      </c>
      <c r="E158" s="403"/>
      <c r="F158" s="203" t="s">
        <v>481</v>
      </c>
      <c r="G158" s="204">
        <v>0.2</v>
      </c>
      <c r="H158" s="63"/>
    </row>
    <row r="159" spans="2:8" ht="32.25" customHeight="1">
      <c r="B159" s="166"/>
      <c r="C159" s="185">
        <v>4</v>
      </c>
      <c r="D159" s="404" t="s">
        <v>497</v>
      </c>
      <c r="E159" s="405"/>
      <c r="F159" s="203" t="s">
        <v>481</v>
      </c>
      <c r="G159" s="204">
        <v>2</v>
      </c>
      <c r="H159" s="63"/>
    </row>
    <row r="160" spans="2:8" ht="26.45" customHeight="1">
      <c r="B160" s="166"/>
      <c r="C160" s="185">
        <v>5</v>
      </c>
      <c r="D160" s="404" t="s">
        <v>498</v>
      </c>
      <c r="E160" s="405"/>
      <c r="F160" s="203" t="s">
        <v>481</v>
      </c>
      <c r="G160" s="204">
        <v>1</v>
      </c>
      <c r="H160" s="63"/>
    </row>
    <row r="161" spans="2:8">
      <c r="B161" s="166"/>
      <c r="C161" s="185">
        <v>6</v>
      </c>
      <c r="D161" s="173" t="s">
        <v>499</v>
      </c>
      <c r="E161" s="176"/>
      <c r="F161" s="203" t="s">
        <v>481</v>
      </c>
      <c r="G161" s="204">
        <v>0.2</v>
      </c>
      <c r="H161" s="63"/>
    </row>
    <row r="162" spans="2:8">
      <c r="B162" s="166"/>
      <c r="C162" s="185">
        <v>7</v>
      </c>
      <c r="D162" s="404" t="s">
        <v>500</v>
      </c>
      <c r="E162" s="405"/>
      <c r="F162" s="203" t="s">
        <v>501</v>
      </c>
      <c r="G162" s="204">
        <v>2</v>
      </c>
      <c r="H162" s="63"/>
    </row>
    <row r="163" spans="2:8" ht="14.25" customHeight="1">
      <c r="B163" s="166"/>
      <c r="C163" s="185">
        <v>8</v>
      </c>
      <c r="D163" s="404" t="s">
        <v>502</v>
      </c>
      <c r="E163" s="405"/>
      <c r="F163" s="203" t="s">
        <v>501</v>
      </c>
      <c r="G163" s="204">
        <v>1</v>
      </c>
      <c r="H163" s="63"/>
    </row>
    <row r="164" spans="2:8">
      <c r="B164" s="166"/>
      <c r="C164" s="185">
        <v>9</v>
      </c>
      <c r="D164" s="404" t="s">
        <v>503</v>
      </c>
      <c r="E164" s="405"/>
      <c r="F164" s="203" t="s">
        <v>501</v>
      </c>
      <c r="G164" s="204">
        <v>0.5</v>
      </c>
      <c r="H164" s="63"/>
    </row>
    <row r="165" spans="2:8">
      <c r="B165" s="63"/>
      <c r="C165" s="63"/>
      <c r="D165" s="63"/>
      <c r="E165" s="63"/>
      <c r="F165" s="63"/>
      <c r="G165" s="63"/>
      <c r="H165" s="63"/>
    </row>
    <row r="166" spans="2:8">
      <c r="B166" s="63"/>
      <c r="C166" s="63"/>
      <c r="D166" s="63"/>
      <c r="E166" s="63"/>
      <c r="F166" s="63"/>
      <c r="G166" s="63"/>
      <c r="H166" s="63"/>
    </row>
    <row r="167" spans="2:8">
      <c r="B167" s="166" t="s">
        <v>781</v>
      </c>
      <c r="C167" s="166"/>
      <c r="D167" s="166"/>
      <c r="E167" s="166"/>
      <c r="F167" s="166"/>
      <c r="G167" s="18"/>
      <c r="H167" s="63"/>
    </row>
    <row r="168" spans="2:8">
      <c r="B168" s="18"/>
      <c r="C168" s="187" t="s">
        <v>374</v>
      </c>
      <c r="D168" s="467" t="s">
        <v>506</v>
      </c>
      <c r="E168" s="468"/>
      <c r="F168" s="472" t="s">
        <v>507</v>
      </c>
      <c r="G168" s="478"/>
      <c r="H168" s="63"/>
    </row>
    <row r="169" spans="2:8" ht="50.25" customHeight="1">
      <c r="B169" s="18"/>
      <c r="C169" s="419" t="s">
        <v>9</v>
      </c>
      <c r="D169" s="479" t="s">
        <v>782</v>
      </c>
      <c r="E169" s="480"/>
      <c r="F169" s="417">
        <v>2</v>
      </c>
      <c r="G169" s="418"/>
      <c r="H169" s="63"/>
    </row>
    <row r="170" spans="2:8" ht="14.25" customHeight="1">
      <c r="B170" s="18"/>
      <c r="C170" s="420"/>
      <c r="D170" s="410" t="s">
        <v>508</v>
      </c>
      <c r="E170" s="411"/>
      <c r="F170" s="412">
        <v>1</v>
      </c>
      <c r="G170" s="413"/>
      <c r="H170" s="63"/>
    </row>
    <row r="171" spans="2:8">
      <c r="B171" s="18"/>
      <c r="C171" s="205" t="s">
        <v>10</v>
      </c>
      <c r="D171" s="425" t="s">
        <v>783</v>
      </c>
      <c r="E171" s="426"/>
      <c r="F171" s="481">
        <v>1</v>
      </c>
      <c r="G171" s="482"/>
      <c r="H171" s="63"/>
    </row>
    <row r="172" spans="2:8">
      <c r="B172" s="18"/>
      <c r="C172" s="421" t="s">
        <v>11</v>
      </c>
      <c r="D172" s="479" t="s">
        <v>509</v>
      </c>
      <c r="E172" s="480"/>
      <c r="F172" s="417">
        <v>5</v>
      </c>
      <c r="G172" s="418"/>
      <c r="H172" s="63"/>
    </row>
    <row r="173" spans="2:8" ht="26.45" customHeight="1">
      <c r="B173" s="18"/>
      <c r="C173" s="422"/>
      <c r="D173" s="423" t="s">
        <v>510</v>
      </c>
      <c r="E173" s="424"/>
      <c r="F173" s="412">
        <v>2</v>
      </c>
      <c r="G173" s="413"/>
      <c r="H173" s="63"/>
    </row>
    <row r="174" spans="2:8" ht="14.25" customHeight="1">
      <c r="B174" s="18"/>
      <c r="C174" s="205" t="s">
        <v>12</v>
      </c>
      <c r="D174" s="425" t="s">
        <v>511</v>
      </c>
      <c r="E174" s="426"/>
      <c r="F174" s="483" t="s">
        <v>784</v>
      </c>
      <c r="G174" s="484"/>
      <c r="H174" s="63"/>
    </row>
    <row r="175" spans="2:8" ht="27" customHeight="1">
      <c r="B175" s="18"/>
      <c r="C175" s="421" t="s">
        <v>13</v>
      </c>
      <c r="D175" s="485" t="s">
        <v>512</v>
      </c>
      <c r="E175" s="485"/>
      <c r="F175" s="429">
        <v>5</v>
      </c>
      <c r="G175" s="429"/>
      <c r="H175" s="63"/>
    </row>
    <row r="176" spans="2:8">
      <c r="B176" s="18"/>
      <c r="C176" s="422"/>
      <c r="D176" s="427" t="s">
        <v>513</v>
      </c>
      <c r="E176" s="427"/>
      <c r="F176" s="428">
        <v>0.5</v>
      </c>
      <c r="G176" s="428"/>
      <c r="H176" s="63"/>
    </row>
    <row r="177" spans="2:8" ht="14.25" customHeight="1">
      <c r="B177" s="18"/>
      <c r="C177" s="414" t="s">
        <v>14</v>
      </c>
      <c r="D177" s="425" t="s">
        <v>514</v>
      </c>
      <c r="E177" s="495"/>
      <c r="F177" s="495"/>
      <c r="G177" s="426"/>
      <c r="H177" s="63"/>
    </row>
    <row r="178" spans="2:8" ht="14.25" customHeight="1">
      <c r="B178" s="18"/>
      <c r="C178" s="415"/>
      <c r="D178" s="485" t="s">
        <v>515</v>
      </c>
      <c r="E178" s="485"/>
      <c r="F178" s="496" t="s">
        <v>516</v>
      </c>
      <c r="G178" s="496"/>
      <c r="H178" s="63"/>
    </row>
    <row r="179" spans="2:8">
      <c r="B179" s="18"/>
      <c r="C179" s="415"/>
      <c r="D179" s="499" t="s">
        <v>517</v>
      </c>
      <c r="E179" s="499"/>
      <c r="F179" s="500">
        <v>1.5</v>
      </c>
      <c r="G179" s="500"/>
      <c r="H179" s="63"/>
    </row>
    <row r="180" spans="2:8">
      <c r="B180" s="18"/>
      <c r="C180" s="415"/>
      <c r="D180" s="499" t="s">
        <v>518</v>
      </c>
      <c r="E180" s="499"/>
      <c r="F180" s="500">
        <v>1.5</v>
      </c>
      <c r="G180" s="500"/>
      <c r="H180" s="63"/>
    </row>
    <row r="181" spans="2:8">
      <c r="B181" s="18"/>
      <c r="C181" s="415"/>
      <c r="D181" s="499" t="s">
        <v>513</v>
      </c>
      <c r="E181" s="499"/>
      <c r="F181" s="500">
        <v>1.2</v>
      </c>
      <c r="G181" s="500"/>
      <c r="H181" s="63"/>
    </row>
    <row r="182" spans="2:8">
      <c r="B182" s="18"/>
      <c r="C182" s="415"/>
      <c r="D182" s="501" t="s">
        <v>785</v>
      </c>
      <c r="E182" s="501"/>
      <c r="F182" s="428">
        <v>0.5</v>
      </c>
      <c r="G182" s="428"/>
      <c r="H182" s="63"/>
    </row>
    <row r="183" spans="2:8" ht="14.25" customHeight="1">
      <c r="B183" s="18"/>
      <c r="C183" s="415"/>
      <c r="D183" s="479" t="s">
        <v>519</v>
      </c>
      <c r="E183" s="480"/>
      <c r="F183" s="417" t="s">
        <v>520</v>
      </c>
      <c r="G183" s="418"/>
      <c r="H183" s="63"/>
    </row>
    <row r="184" spans="2:8">
      <c r="B184" s="18"/>
      <c r="C184" s="415"/>
      <c r="D184" s="406" t="s">
        <v>517</v>
      </c>
      <c r="E184" s="407"/>
      <c r="F184" s="408">
        <v>1.5</v>
      </c>
      <c r="G184" s="409"/>
      <c r="H184" s="63"/>
    </row>
    <row r="185" spans="2:8">
      <c r="B185" s="18"/>
      <c r="C185" s="415"/>
      <c r="D185" s="406" t="s">
        <v>518</v>
      </c>
      <c r="E185" s="407"/>
      <c r="F185" s="408">
        <v>1.5</v>
      </c>
      <c r="G185" s="409"/>
      <c r="H185" s="63"/>
    </row>
    <row r="186" spans="2:8">
      <c r="B186" s="18"/>
      <c r="C186" s="415"/>
      <c r="D186" s="410" t="s">
        <v>513</v>
      </c>
      <c r="E186" s="411"/>
      <c r="F186" s="412">
        <v>1.2</v>
      </c>
      <c r="G186" s="413"/>
      <c r="H186" s="63"/>
    </row>
    <row r="187" spans="2:8">
      <c r="B187" s="18"/>
      <c r="C187" s="415"/>
      <c r="D187" s="479" t="s">
        <v>521</v>
      </c>
      <c r="E187" s="480"/>
      <c r="F187" s="417" t="s">
        <v>522</v>
      </c>
      <c r="G187" s="418"/>
      <c r="H187" s="63"/>
    </row>
    <row r="188" spans="2:8">
      <c r="B188" s="18"/>
      <c r="C188" s="415"/>
      <c r="D188" s="406" t="s">
        <v>517</v>
      </c>
      <c r="E188" s="407"/>
      <c r="F188" s="408">
        <v>1.5</v>
      </c>
      <c r="G188" s="409"/>
      <c r="H188" s="63"/>
    </row>
    <row r="189" spans="2:8">
      <c r="B189" s="18"/>
      <c r="C189" s="415"/>
      <c r="D189" s="406" t="s">
        <v>518</v>
      </c>
      <c r="E189" s="407"/>
      <c r="F189" s="408">
        <v>1.5</v>
      </c>
      <c r="G189" s="409"/>
      <c r="H189" s="63"/>
    </row>
    <row r="190" spans="2:8">
      <c r="B190" s="18"/>
      <c r="C190" s="415"/>
      <c r="D190" s="410" t="s">
        <v>513</v>
      </c>
      <c r="E190" s="411"/>
      <c r="F190" s="412">
        <v>1.2</v>
      </c>
      <c r="G190" s="413"/>
      <c r="H190" s="63"/>
    </row>
    <row r="191" spans="2:8" ht="14.25" customHeight="1">
      <c r="B191" s="18"/>
      <c r="C191" s="415"/>
      <c r="D191" s="479" t="s">
        <v>523</v>
      </c>
      <c r="E191" s="480"/>
      <c r="F191" s="497" t="s">
        <v>524</v>
      </c>
      <c r="G191" s="498"/>
      <c r="H191" s="63"/>
    </row>
    <row r="192" spans="2:8">
      <c r="B192" s="18"/>
      <c r="C192" s="415"/>
      <c r="D192" s="406" t="s">
        <v>517</v>
      </c>
      <c r="E192" s="407"/>
      <c r="F192" s="417">
        <v>1.5</v>
      </c>
      <c r="G192" s="418"/>
      <c r="H192" s="63"/>
    </row>
    <row r="193" spans="2:8">
      <c r="B193" s="18"/>
      <c r="C193" s="415"/>
      <c r="D193" s="406" t="s">
        <v>518</v>
      </c>
      <c r="E193" s="407"/>
      <c r="F193" s="408">
        <v>1.5</v>
      </c>
      <c r="G193" s="409"/>
      <c r="H193" s="63"/>
    </row>
    <row r="194" spans="2:8">
      <c r="B194" s="18"/>
      <c r="C194" s="416"/>
      <c r="D194" s="410" t="s">
        <v>513</v>
      </c>
      <c r="E194" s="411"/>
      <c r="F194" s="412">
        <v>1.2</v>
      </c>
      <c r="G194" s="413"/>
      <c r="H194" s="63"/>
    </row>
    <row r="195" spans="2:8">
      <c r="B195" s="63"/>
      <c r="C195" s="303" t="s">
        <v>15</v>
      </c>
      <c r="D195" s="299" t="s">
        <v>525</v>
      </c>
      <c r="E195" s="300"/>
      <c r="F195" s="299"/>
      <c r="G195" s="300"/>
      <c r="H195" s="63"/>
    </row>
    <row r="196" spans="2:8">
      <c r="B196" s="63"/>
      <c r="C196" s="304"/>
      <c r="D196" s="396" t="s">
        <v>526</v>
      </c>
      <c r="E196" s="397"/>
      <c r="F196" s="398">
        <v>3</v>
      </c>
      <c r="G196" s="399"/>
      <c r="H196" s="63"/>
    </row>
    <row r="197" spans="2:8">
      <c r="B197" s="63"/>
      <c r="C197" s="304"/>
      <c r="D197" s="396" t="s">
        <v>526</v>
      </c>
      <c r="E197" s="397"/>
      <c r="F197" s="398" t="s">
        <v>527</v>
      </c>
      <c r="G197" s="399"/>
      <c r="H197" s="63"/>
    </row>
    <row r="198" spans="2:8">
      <c r="B198" s="63"/>
      <c r="C198" s="304"/>
      <c r="D198" s="396" t="s">
        <v>786</v>
      </c>
      <c r="E198" s="397"/>
      <c r="F198" s="398">
        <v>2</v>
      </c>
      <c r="G198" s="399"/>
      <c r="H198" s="63"/>
    </row>
    <row r="199" spans="2:8">
      <c r="B199" s="63"/>
      <c r="C199" s="304"/>
      <c r="D199" s="396" t="s">
        <v>787</v>
      </c>
      <c r="E199" s="397"/>
      <c r="F199" s="398" t="s">
        <v>528</v>
      </c>
      <c r="G199" s="399"/>
      <c r="H199" s="63"/>
    </row>
    <row r="200" spans="2:8">
      <c r="B200" s="63"/>
      <c r="C200" s="305"/>
      <c r="D200" s="295"/>
      <c r="E200" s="296"/>
      <c r="F200" s="316"/>
      <c r="G200" s="317"/>
      <c r="H200" s="63"/>
    </row>
    <row r="201" spans="2:8" ht="31.5" customHeight="1">
      <c r="B201" s="63"/>
      <c r="C201" s="239" t="s">
        <v>16</v>
      </c>
      <c r="D201" s="425" t="s">
        <v>529</v>
      </c>
      <c r="E201" s="426"/>
      <c r="F201" s="425" t="s">
        <v>530</v>
      </c>
      <c r="G201" s="426"/>
      <c r="H201" s="63"/>
    </row>
    <row r="202" spans="2:8">
      <c r="B202" s="63"/>
      <c r="C202" s="63"/>
      <c r="D202" s="63"/>
      <c r="E202" s="63"/>
      <c r="F202" s="63"/>
      <c r="G202" s="63"/>
      <c r="H202" s="63"/>
    </row>
    <row r="203" spans="2:8">
      <c r="B203" s="166" t="s">
        <v>531</v>
      </c>
      <c r="C203" s="18"/>
      <c r="D203" s="18"/>
      <c r="E203" s="18"/>
      <c r="F203" s="18"/>
      <c r="G203" s="18"/>
      <c r="H203" s="63"/>
    </row>
    <row r="204" spans="2:8">
      <c r="B204" s="18"/>
      <c r="C204" s="18"/>
      <c r="D204" s="188" t="s">
        <v>532</v>
      </c>
      <c r="E204" s="274" t="s">
        <v>533</v>
      </c>
      <c r="F204" s="274" t="s">
        <v>534</v>
      </c>
      <c r="G204" s="274" t="s">
        <v>535</v>
      </c>
      <c r="H204" s="63"/>
    </row>
    <row r="205" spans="2:8">
      <c r="B205" s="18"/>
      <c r="C205" s="18"/>
      <c r="D205" s="187" t="s">
        <v>536</v>
      </c>
      <c r="E205" s="188">
        <v>35</v>
      </c>
      <c r="F205" s="188">
        <v>24</v>
      </c>
      <c r="G205" s="188" t="s">
        <v>45</v>
      </c>
      <c r="H205" s="63"/>
    </row>
    <row r="206" spans="2:8">
      <c r="B206" s="18"/>
      <c r="C206" s="18"/>
      <c r="D206" s="187" t="s">
        <v>537</v>
      </c>
      <c r="E206" s="188">
        <v>35</v>
      </c>
      <c r="F206" s="188">
        <v>24</v>
      </c>
      <c r="G206" s="188" t="s">
        <v>45</v>
      </c>
      <c r="H206" s="63"/>
    </row>
    <row r="207" spans="2:8">
      <c r="B207" s="18"/>
      <c r="C207" s="18"/>
      <c r="D207" s="187" t="s">
        <v>538</v>
      </c>
      <c r="E207" s="188">
        <v>30</v>
      </c>
      <c r="F207" s="188">
        <v>18</v>
      </c>
      <c r="G207" s="188">
        <v>3</v>
      </c>
      <c r="H207" s="63"/>
    </row>
    <row r="208" spans="2:8">
      <c r="B208" s="18"/>
      <c r="C208" s="18"/>
      <c r="D208" s="187" t="s">
        <v>539</v>
      </c>
      <c r="E208" s="188">
        <v>28</v>
      </c>
      <c r="F208" s="188">
        <v>18</v>
      </c>
      <c r="G208" s="188">
        <v>3</v>
      </c>
      <c r="H208" s="63"/>
    </row>
    <row r="209" spans="2:8">
      <c r="B209" s="18"/>
      <c r="C209" s="18"/>
      <c r="D209" s="187" t="s">
        <v>540</v>
      </c>
      <c r="E209" s="188">
        <v>25</v>
      </c>
      <c r="F209" s="188">
        <v>18</v>
      </c>
      <c r="G209" s="188">
        <v>3</v>
      </c>
      <c r="H209" s="63"/>
    </row>
    <row r="210" spans="2:8" ht="38.25">
      <c r="B210" s="18"/>
      <c r="C210" s="18"/>
      <c r="D210" s="206" t="s">
        <v>541</v>
      </c>
      <c r="E210" s="188">
        <v>23</v>
      </c>
      <c r="F210" s="188">
        <v>12</v>
      </c>
      <c r="G210" s="188">
        <v>6</v>
      </c>
      <c r="H210" s="63"/>
    </row>
    <row r="211" spans="2:8">
      <c r="B211" s="18"/>
      <c r="C211" s="18"/>
      <c r="D211" s="18"/>
      <c r="E211" s="18"/>
      <c r="F211" s="18"/>
      <c r="G211" s="18"/>
      <c r="H211" s="63"/>
    </row>
    <row r="212" spans="2:8">
      <c r="B212" s="18"/>
      <c r="C212" s="18"/>
      <c r="D212" s="18" t="s">
        <v>529</v>
      </c>
      <c r="E212" s="18"/>
      <c r="F212" s="18"/>
      <c r="G212" s="18"/>
      <c r="H212" s="63"/>
    </row>
    <row r="213" spans="2:8" ht="25.5">
      <c r="B213" s="18"/>
      <c r="C213" s="18"/>
      <c r="D213" s="206" t="s">
        <v>542</v>
      </c>
      <c r="E213" s="188">
        <v>18</v>
      </c>
      <c r="F213" s="207">
        <v>12</v>
      </c>
      <c r="G213" s="188">
        <v>6</v>
      </c>
      <c r="H213" s="63"/>
    </row>
  </sheetData>
  <mergeCells count="201">
    <mergeCell ref="D71:G71"/>
    <mergeCell ref="C72:C73"/>
    <mergeCell ref="D73:E73"/>
    <mergeCell ref="D79:E79"/>
    <mergeCell ref="D80:E80"/>
    <mergeCell ref="C111:C115"/>
    <mergeCell ref="D112:D113"/>
    <mergeCell ref="D114:D115"/>
    <mergeCell ref="E128:F128"/>
    <mergeCell ref="C106:C107"/>
    <mergeCell ref="D106:E107"/>
    <mergeCell ref="F106:F107"/>
    <mergeCell ref="B91:H91"/>
    <mergeCell ref="D94:E94"/>
    <mergeCell ref="D111:G111"/>
    <mergeCell ref="C118:C120"/>
    <mergeCell ref="D116:G116"/>
    <mergeCell ref="D100:E100"/>
    <mergeCell ref="D101:E101"/>
    <mergeCell ref="D102:E102"/>
    <mergeCell ref="F195:G195"/>
    <mergeCell ref="D177:G177"/>
    <mergeCell ref="D178:E178"/>
    <mergeCell ref="D183:E183"/>
    <mergeCell ref="F178:G178"/>
    <mergeCell ref="F183:G183"/>
    <mergeCell ref="D187:E187"/>
    <mergeCell ref="F187:G187"/>
    <mergeCell ref="D191:E191"/>
    <mergeCell ref="F191:G191"/>
    <mergeCell ref="D180:E180"/>
    <mergeCell ref="D181:E181"/>
    <mergeCell ref="F180:G180"/>
    <mergeCell ref="F181:G181"/>
    <mergeCell ref="D179:E179"/>
    <mergeCell ref="F179:G179"/>
    <mergeCell ref="D182:E182"/>
    <mergeCell ref="F182:G182"/>
    <mergeCell ref="D184:E184"/>
    <mergeCell ref="D185:E185"/>
    <mergeCell ref="D186:E186"/>
    <mergeCell ref="F184:G184"/>
    <mergeCell ref="F185:G185"/>
    <mergeCell ref="F188:G188"/>
    <mergeCell ref="C69:C70"/>
    <mergeCell ref="D70:E70"/>
    <mergeCell ref="D47:E48"/>
    <mergeCell ref="D43:G43"/>
    <mergeCell ref="D46:G46"/>
    <mergeCell ref="C47:C48"/>
    <mergeCell ref="D44:E45"/>
    <mergeCell ref="C59:C60"/>
    <mergeCell ref="D59:D60"/>
    <mergeCell ref="E59:E60"/>
    <mergeCell ref="D49:E50"/>
    <mergeCell ref="D68:G68"/>
    <mergeCell ref="C23:C24"/>
    <mergeCell ref="D30:E30"/>
    <mergeCell ref="D32:E32"/>
    <mergeCell ref="D29:F29"/>
    <mergeCell ref="D27:E27"/>
    <mergeCell ref="C26:C28"/>
    <mergeCell ref="D23:E23"/>
    <mergeCell ref="D24:E24"/>
    <mergeCell ref="C66:C67"/>
    <mergeCell ref="D65:G65"/>
    <mergeCell ref="C30:C34"/>
    <mergeCell ref="D40:E40"/>
    <mergeCell ref="D41:E41"/>
    <mergeCell ref="D42:E42"/>
    <mergeCell ref="D39:E39"/>
    <mergeCell ref="D31:G31"/>
    <mergeCell ref="D26:E26"/>
    <mergeCell ref="D33:E33"/>
    <mergeCell ref="D34:E34"/>
    <mergeCell ref="F201:G201"/>
    <mergeCell ref="F168:G168"/>
    <mergeCell ref="D169:E169"/>
    <mergeCell ref="D171:E171"/>
    <mergeCell ref="D201:E201"/>
    <mergeCell ref="F171:G171"/>
    <mergeCell ref="E125:F125"/>
    <mergeCell ref="E126:F126"/>
    <mergeCell ref="E127:F127"/>
    <mergeCell ref="D145:E145"/>
    <mergeCell ref="D146:E146"/>
    <mergeCell ref="D147:E147"/>
    <mergeCell ref="D148:E148"/>
    <mergeCell ref="D149:E149"/>
    <mergeCell ref="D150:E150"/>
    <mergeCell ref="D151:E151"/>
    <mergeCell ref="D164:E164"/>
    <mergeCell ref="D162:E162"/>
    <mergeCell ref="D163:E163"/>
    <mergeCell ref="D172:E172"/>
    <mergeCell ref="F172:G172"/>
    <mergeCell ref="F174:G174"/>
    <mergeCell ref="D195:E195"/>
    <mergeCell ref="D175:E175"/>
    <mergeCell ref="D168:E168"/>
    <mergeCell ref="C8:C9"/>
    <mergeCell ref="C57:C58"/>
    <mergeCell ref="C135:C136"/>
    <mergeCell ref="D88:E88"/>
    <mergeCell ref="D89:E89"/>
    <mergeCell ref="D135:D136"/>
    <mergeCell ref="D84:E84"/>
    <mergeCell ref="E57:E58"/>
    <mergeCell ref="B83:H83"/>
    <mergeCell ref="E132:F132"/>
    <mergeCell ref="E133:F133"/>
    <mergeCell ref="D95:E95"/>
    <mergeCell ref="D96:E96"/>
    <mergeCell ref="D97:E97"/>
    <mergeCell ref="D98:E98"/>
    <mergeCell ref="D99:E99"/>
    <mergeCell ref="D8:E9"/>
    <mergeCell ref="D10:E10"/>
    <mergeCell ref="D159:E159"/>
    <mergeCell ref="D21:E21"/>
    <mergeCell ref="E137:F137"/>
    <mergeCell ref="B140:H140"/>
    <mergeCell ref="D143:E143"/>
    <mergeCell ref="A2:H2"/>
    <mergeCell ref="D57:D58"/>
    <mergeCell ref="D85:E85"/>
    <mergeCell ref="D86:E86"/>
    <mergeCell ref="D87:E87"/>
    <mergeCell ref="C55:C56"/>
    <mergeCell ref="D55:E56"/>
    <mergeCell ref="F55:F56"/>
    <mergeCell ref="D67:E67"/>
    <mergeCell ref="D74:E74"/>
    <mergeCell ref="D75:E75"/>
    <mergeCell ref="D76:E76"/>
    <mergeCell ref="D77:E77"/>
    <mergeCell ref="D78:E78"/>
    <mergeCell ref="C6:C7"/>
    <mergeCell ref="F6:F7"/>
    <mergeCell ref="D6:E7"/>
    <mergeCell ref="C13:C14"/>
    <mergeCell ref="D13:E14"/>
    <mergeCell ref="C49:C50"/>
    <mergeCell ref="F13:F14"/>
    <mergeCell ref="D19:E20"/>
    <mergeCell ref="C19:C21"/>
    <mergeCell ref="E22:G22"/>
    <mergeCell ref="D144:E144"/>
    <mergeCell ref="D109:E109"/>
    <mergeCell ref="D110:E110"/>
    <mergeCell ref="D120:E120"/>
    <mergeCell ref="E134:F134"/>
    <mergeCell ref="E135:F135"/>
    <mergeCell ref="E136:F136"/>
    <mergeCell ref="D123:F123"/>
    <mergeCell ref="E124:F124"/>
    <mergeCell ref="E130:F130"/>
    <mergeCell ref="E131:F131"/>
    <mergeCell ref="E129:F129"/>
    <mergeCell ref="F112:F113"/>
    <mergeCell ref="F114:F115"/>
    <mergeCell ref="F189:G189"/>
    <mergeCell ref="F190:G190"/>
    <mergeCell ref="D192:E192"/>
    <mergeCell ref="F192:G192"/>
    <mergeCell ref="C169:C170"/>
    <mergeCell ref="C172:C173"/>
    <mergeCell ref="F170:G170"/>
    <mergeCell ref="F173:G173"/>
    <mergeCell ref="D173:E173"/>
    <mergeCell ref="D174:E174"/>
    <mergeCell ref="D176:E176"/>
    <mergeCell ref="F176:G176"/>
    <mergeCell ref="C175:C176"/>
    <mergeCell ref="F169:G169"/>
    <mergeCell ref="F175:G175"/>
    <mergeCell ref="D170:E170"/>
    <mergeCell ref="D198:E198"/>
    <mergeCell ref="F198:G198"/>
    <mergeCell ref="D199:E199"/>
    <mergeCell ref="D200:E200"/>
    <mergeCell ref="F199:G199"/>
    <mergeCell ref="F200:G200"/>
    <mergeCell ref="C195:C200"/>
    <mergeCell ref="D156:E156"/>
    <mergeCell ref="D157:E157"/>
    <mergeCell ref="D158:E158"/>
    <mergeCell ref="D160:E160"/>
    <mergeCell ref="D193:E193"/>
    <mergeCell ref="F193:G193"/>
    <mergeCell ref="D194:E194"/>
    <mergeCell ref="F194:G194"/>
    <mergeCell ref="C177:C194"/>
    <mergeCell ref="D196:E196"/>
    <mergeCell ref="F196:G196"/>
    <mergeCell ref="D197:E197"/>
    <mergeCell ref="F197:G197"/>
    <mergeCell ref="F186:G186"/>
    <mergeCell ref="D188:E188"/>
    <mergeCell ref="D189:E189"/>
    <mergeCell ref="D190:E190"/>
  </mergeCells>
  <phoneticPr fontId="23" type="noConversion"/>
  <pageMargins left="0.19685039370078741" right="0.19685039370078741" top="0.39370078740157483" bottom="0.39370078740157483" header="0.31496062992125984" footer="0.31496062992125984"/>
  <pageSetup paperSize="9" scale="85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209"/>
  <sheetViews>
    <sheetView topLeftCell="A175" zoomScaleNormal="100" workbookViewId="0">
      <selection activeCell="G198" sqref="G197:N198"/>
    </sheetView>
  </sheetViews>
  <sheetFormatPr defaultColWidth="9.125" defaultRowHeight="12.75"/>
  <cols>
    <col min="1" max="1" width="3" style="1" customWidth="1"/>
    <col min="2" max="2" width="1.75" style="1" customWidth="1"/>
    <col min="3" max="3" width="5" style="1" customWidth="1"/>
    <col min="4" max="4" width="9" style="1" customWidth="1"/>
    <col min="5" max="5" width="7.625" style="1" customWidth="1"/>
    <col min="6" max="6" width="15.25" style="1" customWidth="1"/>
    <col min="7" max="7" width="6.375" style="1" customWidth="1"/>
    <col min="8" max="8" width="8.25" style="1" customWidth="1"/>
    <col min="9" max="10" width="7.25" style="1" customWidth="1"/>
    <col min="11" max="11" width="7.125" style="1" customWidth="1"/>
    <col min="12" max="12" width="8.375" style="1" customWidth="1"/>
    <col min="13" max="13" width="6.625" style="1" customWidth="1"/>
    <col min="14" max="14" width="7.125" style="1" customWidth="1"/>
    <col min="15" max="15" width="7.75" style="1" customWidth="1"/>
    <col min="16" max="16" width="10.25" style="1" customWidth="1"/>
    <col min="17" max="17" width="11" style="1" customWidth="1"/>
    <col min="18" max="18" width="6.25" style="1" customWidth="1"/>
    <col min="19" max="19" width="7.625" style="1" customWidth="1"/>
    <col min="20" max="21" width="7.25" style="1" customWidth="1"/>
    <col min="22" max="23" width="7.375" style="1" customWidth="1"/>
    <col min="24" max="24" width="7" style="1" customWidth="1"/>
    <col min="25" max="25" width="6.875" style="1" customWidth="1"/>
    <col min="26" max="29" width="6.75" style="1" customWidth="1"/>
    <col min="30" max="41" width="6.75" style="1" hidden="1" customWidth="1"/>
    <col min="42" max="50" width="2.625" style="1" hidden="1" customWidth="1"/>
    <col min="51" max="51" width="2.625" style="1" customWidth="1"/>
    <col min="52" max="55" width="9.125" style="1" customWidth="1"/>
    <col min="56" max="56" width="6" style="1" customWidth="1"/>
    <col min="57" max="57" width="4.625" style="1" customWidth="1"/>
    <col min="58" max="59" width="5.125" style="1" customWidth="1"/>
    <col min="60" max="60" width="6.875" style="1" customWidth="1"/>
    <col min="61" max="69" width="9.125" style="1" customWidth="1"/>
    <col min="70" max="16384" width="9.125" style="1"/>
  </cols>
  <sheetData>
    <row r="1" spans="1:66">
      <c r="A1" s="695" t="s">
        <v>543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66" ht="13.5" thickBot="1">
      <c r="A2" s="695" t="s">
        <v>544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</row>
    <row r="3" spans="1:66" ht="13.5" thickBot="1">
      <c r="A3" s="2"/>
      <c r="F3" s="50"/>
      <c r="G3" s="1" t="s">
        <v>545</v>
      </c>
      <c r="K3" s="50"/>
      <c r="L3" s="1" t="s">
        <v>546</v>
      </c>
      <c r="P3" s="1" t="s">
        <v>547</v>
      </c>
      <c r="R3" s="51"/>
    </row>
    <row r="5" spans="1:66">
      <c r="D5" s="7" t="s">
        <v>548</v>
      </c>
      <c r="I5" s="223"/>
      <c r="J5" s="220"/>
      <c r="K5" s="220"/>
      <c r="L5" s="220"/>
      <c r="M5" s="7"/>
      <c r="N5" s="7" t="s">
        <v>552</v>
      </c>
      <c r="O5" s="7"/>
      <c r="P5" s="7"/>
      <c r="Q5" s="7"/>
      <c r="R5" s="7"/>
      <c r="S5" s="714"/>
      <c r="T5" s="714"/>
      <c r="U5" s="714"/>
      <c r="V5" s="714"/>
    </row>
    <row r="6" spans="1:66">
      <c r="D6" s="7" t="s">
        <v>549</v>
      </c>
      <c r="I6" s="221"/>
      <c r="J6" s="221"/>
      <c r="K6" s="221"/>
      <c r="L6" s="221"/>
      <c r="M6" s="7"/>
      <c r="N6" s="7" t="s">
        <v>553</v>
      </c>
      <c r="O6" s="7"/>
      <c r="P6" s="7"/>
      <c r="Q6" s="7"/>
      <c r="R6" s="7"/>
      <c r="S6" s="221"/>
      <c r="T6" s="221"/>
      <c r="U6" s="221"/>
      <c r="V6" s="221"/>
    </row>
    <row r="7" spans="1:66">
      <c r="D7" s="7" t="s">
        <v>550</v>
      </c>
      <c r="I7" s="158"/>
      <c r="J7" s="158"/>
      <c r="K7" s="158"/>
      <c r="L7" s="158"/>
      <c r="N7" s="1" t="s">
        <v>554</v>
      </c>
      <c r="S7" s="158"/>
      <c r="T7" s="158"/>
      <c r="U7" s="158"/>
      <c r="V7" s="158"/>
    </row>
    <row r="8" spans="1:66">
      <c r="D8" s="7" t="s">
        <v>551</v>
      </c>
      <c r="I8" s="221"/>
      <c r="J8" s="221"/>
      <c r="K8" s="221"/>
      <c r="L8" s="221"/>
    </row>
    <row r="10" spans="1:66">
      <c r="A10" s="3" t="s">
        <v>558</v>
      </c>
    </row>
    <row r="11" spans="1:66">
      <c r="B11" s="4" t="s">
        <v>559</v>
      </c>
    </row>
    <row r="12" spans="1:66" ht="14.25" customHeight="1">
      <c r="C12" s="525" t="s">
        <v>374</v>
      </c>
      <c r="D12" s="517" t="s">
        <v>118</v>
      </c>
      <c r="E12" s="518"/>
      <c r="F12" s="518"/>
      <c r="G12" s="518"/>
      <c r="H12" s="518"/>
      <c r="I12" s="518"/>
      <c r="J12" s="518"/>
      <c r="K12" s="518"/>
      <c r="L12" s="518"/>
      <c r="M12" s="519"/>
      <c r="N12" s="696" t="s">
        <v>580</v>
      </c>
      <c r="O12" s="697"/>
      <c r="P12" s="700" t="s">
        <v>581</v>
      </c>
    </row>
    <row r="13" spans="1:66" ht="76.5" customHeight="1">
      <c r="C13" s="526"/>
      <c r="D13" s="731" t="s">
        <v>560</v>
      </c>
      <c r="E13" s="524" t="s">
        <v>561</v>
      </c>
      <c r="F13" s="509" t="s">
        <v>562</v>
      </c>
      <c r="G13" s="509" t="s">
        <v>563</v>
      </c>
      <c r="H13" s="43" t="s">
        <v>564</v>
      </c>
      <c r="I13" s="208" t="s">
        <v>801</v>
      </c>
      <c r="J13" s="140" t="s">
        <v>565</v>
      </c>
      <c r="K13" s="729" t="s">
        <v>578</v>
      </c>
      <c r="L13" s="730"/>
      <c r="M13" s="702" t="s">
        <v>376</v>
      </c>
      <c r="N13" s="698"/>
      <c r="O13" s="699"/>
      <c r="P13" s="701"/>
      <c r="BC13" s="106" t="s">
        <v>120</v>
      </c>
      <c r="BE13" s="1" t="s">
        <v>321</v>
      </c>
      <c r="BG13" s="1" t="s">
        <v>322</v>
      </c>
      <c r="BI13" s="1" t="s">
        <v>323</v>
      </c>
      <c r="BL13" s="1" t="s">
        <v>321</v>
      </c>
      <c r="BM13" s="1" t="s">
        <v>322</v>
      </c>
      <c r="BN13" s="1" t="s">
        <v>323</v>
      </c>
    </row>
    <row r="14" spans="1:66" ht="24.75" customHeight="1">
      <c r="C14" s="556"/>
      <c r="D14" s="731"/>
      <c r="E14" s="524"/>
      <c r="F14" s="509"/>
      <c r="G14" s="509"/>
      <c r="H14" s="121" t="s">
        <v>319</v>
      </c>
      <c r="I14" s="209" t="s">
        <v>566</v>
      </c>
      <c r="J14" s="209" t="s">
        <v>566</v>
      </c>
      <c r="K14" s="121" t="s">
        <v>366</v>
      </c>
      <c r="L14" s="121" t="s">
        <v>579</v>
      </c>
      <c r="M14" s="703"/>
      <c r="N14" s="210" t="s">
        <v>366</v>
      </c>
      <c r="O14" s="210" t="s">
        <v>579</v>
      </c>
      <c r="P14" s="112"/>
      <c r="BC14" s="36"/>
      <c r="BE14" s="1" t="s">
        <v>725</v>
      </c>
      <c r="BF14" s="1" t="s">
        <v>249</v>
      </c>
      <c r="BG14" s="1" t="s">
        <v>725</v>
      </c>
      <c r="BH14" s="1" t="s">
        <v>249</v>
      </c>
      <c r="BI14" s="1" t="s">
        <v>725</v>
      </c>
      <c r="BK14" s="1" t="s">
        <v>249</v>
      </c>
    </row>
    <row r="15" spans="1:66">
      <c r="C15" s="12">
        <v>1</v>
      </c>
      <c r="D15" s="222"/>
      <c r="E15" s="5"/>
      <c r="F15" s="12"/>
      <c r="G15" s="5"/>
      <c r="H15" s="5"/>
      <c r="I15" s="102"/>
      <c r="J15" s="102"/>
      <c r="K15" s="12"/>
      <c r="L15" s="12"/>
      <c r="M15" s="12"/>
      <c r="N15" s="114">
        <f>IF(K15="",0,IF(AND(D15=$BE$27,I15=$BG$27),BE15,IF(AND(D15=$BE$27,I15=$BG$28),BF15,IF(AND(D15=$BE$28,I15=$BG$27),BG15,IF(AND(D15=$BE$28,I15=$BG$28),BH15,IF(AND(D15=$BE$29,I15=$BG$27),BI15,BJ15))))))</f>
        <v>0</v>
      </c>
      <c r="O15" s="114">
        <f>+IF(L15="",0,L15/15*1.5)</f>
        <v>0</v>
      </c>
      <c r="P15" s="113">
        <f>SUM(N15:O15)</f>
        <v>0</v>
      </c>
      <c r="BC15" s="5" t="str">
        <f t="shared" ref="BC15:BC25" si="0">+LEFT(H15,1)</f>
        <v/>
      </c>
      <c r="BE15" s="1">
        <f>IF(M15&lt;=30,K15/15*2,((K15/15*2)+(M15-30)*(VLOOKUP(BC15,$BK$16:$BM$19,2,FALSE))))</f>
        <v>0</v>
      </c>
      <c r="BF15" s="1">
        <f>IF(M15&lt;=30,K15/15*2.5,((K15/15*2.5)+(M15-30)*(VLOOKUP(BC15,$BK$20:$BM$23,2,FALSE))))</f>
        <v>0</v>
      </c>
      <c r="BG15" s="1">
        <f>IF(M15&lt;=30,K15/15*3,((K15/15*3)+(M15-30)*(VLOOKUP(BC15,$BK$16:$BM$19,3,FALSE))))</f>
        <v>0</v>
      </c>
      <c r="BH15" s="1">
        <f>IF(M15&lt;=30,K15/15*3.5,((K15/15*3.5)+(M15-30)*(VLOOKUP(BC15,$BK$20:$BM$23,3,FALSE))))</f>
        <v>0</v>
      </c>
      <c r="BI15" s="1">
        <f>IF(M15&lt;=30,K15/15*4,((K15/15*4)+(M15-30)*(VLOOKUP(BC15,$BK$16:$BN$19,4,FALSE))))</f>
        <v>0</v>
      </c>
      <c r="BJ15" s="1">
        <f>IF(M15&lt;=30,K15/15*4.5,((K15/15*4.5)+(M15-30)*(VLOOKUP(BC15,$BK$20:$BN$23,4,FALSE))))</f>
        <v>0</v>
      </c>
    </row>
    <row r="16" spans="1:66">
      <c r="C16" s="12">
        <v>2</v>
      </c>
      <c r="D16" s="222"/>
      <c r="E16" s="5"/>
      <c r="F16" s="12"/>
      <c r="G16" s="5"/>
      <c r="H16" s="5"/>
      <c r="I16" s="102"/>
      <c r="J16" s="102"/>
      <c r="K16" s="12"/>
      <c r="L16" s="12"/>
      <c r="M16" s="12"/>
      <c r="N16" s="114">
        <f t="shared" ref="N16:N25" si="1">IF(K16="",0,IF(AND(D16=$BE$27,I16=$BG$27),BE16,IF(AND(D16=$BE$27,I16=$BG$28),BF16,IF(AND(D16=$BE$28,I16=$BG$27),BG16,IF(AND(D16=$BE$28,I16=$BG$28),BH16,IF(AND(D16=$BE$29,I16=$BG$27),BI16,BJ16))))))</f>
        <v>0</v>
      </c>
      <c r="O16" s="114">
        <f t="shared" ref="O16:O25" si="2">+IF(L16="",0,L16/15*1.5)</f>
        <v>0</v>
      </c>
      <c r="P16" s="113">
        <f t="shared" ref="P16:P25" si="3">SUM(N16:O16)</f>
        <v>0</v>
      </c>
      <c r="BC16" s="5" t="str">
        <f t="shared" si="0"/>
        <v/>
      </c>
      <c r="BE16" s="1">
        <f t="shared" ref="BE16:BE25" si="4">IF(M16&lt;=30,K16/15*2,((K16/15*2)+(M16-30)*(VLOOKUP(BC16,$BK$16:$BM$19,2,FALSE))))</f>
        <v>0</v>
      </c>
      <c r="BF16" s="1">
        <f t="shared" ref="BF16:BF25" si="5">IF(M16&lt;=30,K16/15*2.5,((K16/15*2.5)+(M16-30)*(VLOOKUP(BC16,$BK$20:$BM$23,2,FALSE))))</f>
        <v>0</v>
      </c>
      <c r="BG16" s="1">
        <f t="shared" ref="BG16:BG25" si="6">IF(M16&lt;=30,K16/15*3,((K16/15*3)+(M16-30)*(VLOOKUP(BC16,$BK$16:$BM$19,3,FALSE))))</f>
        <v>0</v>
      </c>
      <c r="BH16" s="1">
        <f t="shared" ref="BH16:BH25" si="7">IF(M16&lt;=30,K16/15*3.5,((K16/15*3.5)+(M16-30)*(VLOOKUP(BC16,$BK$20:$BM$23,3,FALSE))))</f>
        <v>0</v>
      </c>
      <c r="BI16" s="1">
        <f t="shared" ref="BI16:BI25" si="8">IF(M16&lt;=30,K16/15*4,((K16/15*4)+(M16-30)*(VLOOKUP(BC16,$BK$16:$BN$19,4,FALSE))))</f>
        <v>0</v>
      </c>
      <c r="BJ16" s="1">
        <f t="shared" ref="BJ16:BJ25" si="9">IF(M16&lt;=30,K16/15*4.5,((K16/15*4.5)+(M16-30)*(VLOOKUP(BC16,$BK$20:$BN$23,4,FALSE))))</f>
        <v>0</v>
      </c>
      <c r="BK16" s="107" t="str">
        <f>+LEFT(BC27,1)</f>
        <v>1</v>
      </c>
      <c r="BL16" s="107">
        <v>0.02</v>
      </c>
      <c r="BM16" s="107">
        <v>0.03</v>
      </c>
      <c r="BN16" s="107">
        <v>0.04</v>
      </c>
    </row>
    <row r="17" spans="3:66">
      <c r="C17" s="12">
        <v>3</v>
      </c>
      <c r="D17" s="222"/>
      <c r="E17" s="5"/>
      <c r="F17" s="12"/>
      <c r="G17" s="5"/>
      <c r="H17" s="5"/>
      <c r="I17" s="102"/>
      <c r="J17" s="102"/>
      <c r="K17" s="12"/>
      <c r="L17" s="12"/>
      <c r="M17" s="12"/>
      <c r="N17" s="114">
        <f t="shared" si="1"/>
        <v>0</v>
      </c>
      <c r="O17" s="114">
        <f t="shared" si="2"/>
        <v>0</v>
      </c>
      <c r="P17" s="113">
        <f t="shared" si="3"/>
        <v>0</v>
      </c>
      <c r="BC17" s="5" t="str">
        <f t="shared" si="0"/>
        <v/>
      </c>
      <c r="BE17" s="1">
        <f t="shared" si="4"/>
        <v>0</v>
      </c>
      <c r="BF17" s="1">
        <f t="shared" si="5"/>
        <v>0</v>
      </c>
      <c r="BG17" s="1">
        <f t="shared" si="6"/>
        <v>0</v>
      </c>
      <c r="BH17" s="1">
        <f t="shared" si="7"/>
        <v>0</v>
      </c>
      <c r="BI17" s="1">
        <f t="shared" si="8"/>
        <v>0</v>
      </c>
      <c r="BJ17" s="1">
        <f t="shared" si="9"/>
        <v>0</v>
      </c>
      <c r="BK17" s="107" t="str">
        <f t="shared" ref="BK17:BK19" si="10">+LEFT(BC28,1)</f>
        <v>2</v>
      </c>
      <c r="BL17" s="107">
        <v>0.04</v>
      </c>
      <c r="BM17" s="107">
        <v>7.0000000000000007E-2</v>
      </c>
      <c r="BN17" s="107">
        <v>0.09</v>
      </c>
    </row>
    <row r="18" spans="3:66">
      <c r="C18" s="12">
        <v>4</v>
      </c>
      <c r="D18" s="222"/>
      <c r="E18" s="5"/>
      <c r="F18" s="12"/>
      <c r="G18" s="5"/>
      <c r="H18" s="5"/>
      <c r="I18" s="102"/>
      <c r="J18" s="102"/>
      <c r="K18" s="12"/>
      <c r="L18" s="12"/>
      <c r="M18" s="12"/>
      <c r="N18" s="114">
        <f t="shared" si="1"/>
        <v>0</v>
      </c>
      <c r="O18" s="114">
        <f t="shared" si="2"/>
        <v>0</v>
      </c>
      <c r="P18" s="113">
        <f t="shared" si="3"/>
        <v>0</v>
      </c>
      <c r="BC18" s="5" t="str">
        <f t="shared" si="0"/>
        <v/>
      </c>
      <c r="BE18" s="1">
        <f t="shared" si="4"/>
        <v>0</v>
      </c>
      <c r="BF18" s="1">
        <f t="shared" si="5"/>
        <v>0</v>
      </c>
      <c r="BG18" s="1">
        <f t="shared" si="6"/>
        <v>0</v>
      </c>
      <c r="BH18" s="1">
        <f t="shared" si="7"/>
        <v>0</v>
      </c>
      <c r="BI18" s="1">
        <f t="shared" si="8"/>
        <v>0</v>
      </c>
      <c r="BJ18" s="1">
        <f t="shared" si="9"/>
        <v>0</v>
      </c>
      <c r="BK18" s="107" t="str">
        <f t="shared" si="10"/>
        <v>3</v>
      </c>
      <c r="BL18" s="107">
        <v>0.06</v>
      </c>
      <c r="BM18" s="109">
        <v>0.1</v>
      </c>
      <c r="BN18" s="107">
        <v>0.13</v>
      </c>
    </row>
    <row r="19" spans="3:66">
      <c r="C19" s="12"/>
      <c r="D19" s="222"/>
      <c r="E19" s="5"/>
      <c r="F19" s="12"/>
      <c r="G19" s="5"/>
      <c r="H19" s="5"/>
      <c r="I19" s="102"/>
      <c r="J19" s="102"/>
      <c r="K19" s="12"/>
      <c r="L19" s="12"/>
      <c r="M19" s="12"/>
      <c r="N19" s="114">
        <f t="shared" si="1"/>
        <v>0</v>
      </c>
      <c r="O19" s="114">
        <f t="shared" ref="O19:O20" si="11">+IF(L19="",0,L19/15*1.5)</f>
        <v>0</v>
      </c>
      <c r="P19" s="113">
        <f t="shared" ref="P19:P20" si="12">SUM(N19:O19)</f>
        <v>0</v>
      </c>
      <c r="BC19" s="5" t="str">
        <f t="shared" si="0"/>
        <v/>
      </c>
      <c r="BE19" s="1">
        <f t="shared" si="4"/>
        <v>0</v>
      </c>
      <c r="BF19" s="1">
        <f t="shared" si="5"/>
        <v>0</v>
      </c>
      <c r="BG19" s="1">
        <f t="shared" si="6"/>
        <v>0</v>
      </c>
      <c r="BH19" s="1">
        <f t="shared" si="7"/>
        <v>0</v>
      </c>
      <c r="BI19" s="1">
        <f t="shared" si="8"/>
        <v>0</v>
      </c>
      <c r="BJ19" s="1">
        <f t="shared" si="9"/>
        <v>0</v>
      </c>
      <c r="BK19" s="107" t="str">
        <f t="shared" si="10"/>
        <v>4</v>
      </c>
      <c r="BL19" s="107">
        <v>0.08</v>
      </c>
      <c r="BM19" s="107">
        <v>0.13</v>
      </c>
      <c r="BN19" s="107">
        <v>0.17</v>
      </c>
    </row>
    <row r="20" spans="3:66">
      <c r="C20" s="12"/>
      <c r="D20" s="222"/>
      <c r="E20" s="5"/>
      <c r="F20" s="12"/>
      <c r="G20" s="5"/>
      <c r="H20" s="5"/>
      <c r="I20" s="102"/>
      <c r="J20" s="102"/>
      <c r="K20" s="12"/>
      <c r="L20" s="12"/>
      <c r="M20" s="12"/>
      <c r="N20" s="114">
        <f t="shared" si="1"/>
        <v>0</v>
      </c>
      <c r="O20" s="114">
        <f t="shared" si="11"/>
        <v>0</v>
      </c>
      <c r="P20" s="113">
        <f t="shared" si="12"/>
        <v>0</v>
      </c>
      <c r="BC20" s="5" t="str">
        <f t="shared" si="0"/>
        <v/>
      </c>
      <c r="BE20" s="1">
        <f t="shared" si="4"/>
        <v>0</v>
      </c>
      <c r="BF20" s="1">
        <f t="shared" si="5"/>
        <v>0</v>
      </c>
      <c r="BG20" s="1">
        <f t="shared" si="6"/>
        <v>0</v>
      </c>
      <c r="BH20" s="1">
        <f t="shared" si="7"/>
        <v>0</v>
      </c>
      <c r="BI20" s="1">
        <f t="shared" si="8"/>
        <v>0</v>
      </c>
      <c r="BJ20" s="1">
        <f t="shared" si="9"/>
        <v>0</v>
      </c>
      <c r="BK20" s="107" t="str">
        <f>+LEFT($BC27,1)</f>
        <v>1</v>
      </c>
      <c r="BL20" s="108">
        <v>0.03</v>
      </c>
      <c r="BM20" s="108">
        <v>0.04</v>
      </c>
      <c r="BN20" s="108">
        <v>0.04</v>
      </c>
    </row>
    <row r="21" spans="3:66">
      <c r="C21" s="12"/>
      <c r="D21" s="222"/>
      <c r="E21" s="5"/>
      <c r="F21" s="12"/>
      <c r="G21" s="5"/>
      <c r="H21" s="5"/>
      <c r="I21" s="102"/>
      <c r="J21" s="102"/>
      <c r="K21" s="12"/>
      <c r="L21" s="12"/>
      <c r="M21" s="12"/>
      <c r="N21" s="114">
        <f t="shared" si="1"/>
        <v>0</v>
      </c>
      <c r="O21" s="114">
        <f t="shared" ref="O21:O22" si="13">+IF(L21="",0,L21/15*1.5)</f>
        <v>0</v>
      </c>
      <c r="P21" s="113">
        <f t="shared" ref="P21:P22" si="14">SUM(N21:O21)</f>
        <v>0</v>
      </c>
      <c r="BC21" s="5" t="str">
        <f t="shared" si="0"/>
        <v/>
      </c>
      <c r="BE21" s="1">
        <f t="shared" si="4"/>
        <v>0</v>
      </c>
      <c r="BF21" s="1">
        <f t="shared" si="5"/>
        <v>0</v>
      </c>
      <c r="BG21" s="1">
        <f t="shared" si="6"/>
        <v>0</v>
      </c>
      <c r="BH21" s="1">
        <f t="shared" si="7"/>
        <v>0</v>
      </c>
      <c r="BI21" s="1">
        <f t="shared" si="8"/>
        <v>0</v>
      </c>
      <c r="BJ21" s="1">
        <f t="shared" si="9"/>
        <v>0</v>
      </c>
      <c r="BK21" s="107" t="str">
        <f t="shared" ref="BK21:BK23" si="15">+LEFT($BC28,1)</f>
        <v>2</v>
      </c>
      <c r="BL21" s="108">
        <v>0.05</v>
      </c>
      <c r="BM21" s="108">
        <v>0.08</v>
      </c>
      <c r="BN21" s="108">
        <v>0.08</v>
      </c>
    </row>
    <row r="22" spans="3:66">
      <c r="C22" s="12"/>
      <c r="D22" s="222"/>
      <c r="E22" s="5"/>
      <c r="F22" s="12"/>
      <c r="G22" s="5"/>
      <c r="H22" s="5"/>
      <c r="I22" s="102"/>
      <c r="J22" s="102"/>
      <c r="K22" s="12"/>
      <c r="L22" s="12"/>
      <c r="M22" s="12"/>
      <c r="N22" s="114">
        <f t="shared" si="1"/>
        <v>0</v>
      </c>
      <c r="O22" s="114">
        <f t="shared" si="13"/>
        <v>0</v>
      </c>
      <c r="P22" s="113">
        <f t="shared" si="14"/>
        <v>0</v>
      </c>
      <c r="BC22" s="5" t="str">
        <f t="shared" si="0"/>
        <v/>
      </c>
      <c r="BE22" s="1">
        <f t="shared" si="4"/>
        <v>0</v>
      </c>
      <c r="BF22" s="1">
        <f t="shared" si="5"/>
        <v>0</v>
      </c>
      <c r="BG22" s="1">
        <f t="shared" si="6"/>
        <v>0</v>
      </c>
      <c r="BH22" s="1">
        <f t="shared" si="7"/>
        <v>0</v>
      </c>
      <c r="BI22" s="1">
        <f t="shared" si="8"/>
        <v>0</v>
      </c>
      <c r="BJ22" s="1">
        <f t="shared" si="9"/>
        <v>0</v>
      </c>
      <c r="BK22" s="107" t="str">
        <f t="shared" si="15"/>
        <v>3</v>
      </c>
      <c r="BL22" s="108">
        <v>0.08</v>
      </c>
      <c r="BM22" s="108">
        <v>0.12</v>
      </c>
      <c r="BN22" s="108">
        <v>0.12</v>
      </c>
    </row>
    <row r="23" spans="3:66">
      <c r="C23" s="12"/>
      <c r="D23" s="222"/>
      <c r="E23" s="5"/>
      <c r="F23" s="12"/>
      <c r="G23" s="5"/>
      <c r="H23" s="5"/>
      <c r="I23" s="102"/>
      <c r="J23" s="102"/>
      <c r="K23" s="12"/>
      <c r="L23" s="12"/>
      <c r="M23" s="12"/>
      <c r="N23" s="114">
        <f t="shared" si="1"/>
        <v>0</v>
      </c>
      <c r="O23" s="114">
        <f t="shared" si="2"/>
        <v>0</v>
      </c>
      <c r="P23" s="113">
        <f t="shared" si="3"/>
        <v>0</v>
      </c>
      <c r="BC23" s="5" t="str">
        <f t="shared" si="0"/>
        <v/>
      </c>
      <c r="BE23" s="1">
        <f t="shared" si="4"/>
        <v>0</v>
      </c>
      <c r="BF23" s="1">
        <f t="shared" si="5"/>
        <v>0</v>
      </c>
      <c r="BG23" s="1">
        <f t="shared" si="6"/>
        <v>0</v>
      </c>
      <c r="BH23" s="1">
        <f t="shared" si="7"/>
        <v>0</v>
      </c>
      <c r="BI23" s="1">
        <f t="shared" si="8"/>
        <v>0</v>
      </c>
      <c r="BJ23" s="1">
        <f t="shared" si="9"/>
        <v>0</v>
      </c>
      <c r="BK23" s="107" t="str">
        <f t="shared" si="15"/>
        <v>4</v>
      </c>
      <c r="BL23" s="108">
        <v>0.11</v>
      </c>
      <c r="BM23" s="108">
        <v>0.16</v>
      </c>
      <c r="BN23" s="108">
        <v>0.16</v>
      </c>
    </row>
    <row r="24" spans="3:66">
      <c r="C24" s="12"/>
      <c r="D24" s="222"/>
      <c r="E24" s="5"/>
      <c r="F24" s="12"/>
      <c r="G24" s="5"/>
      <c r="H24" s="5"/>
      <c r="I24" s="102"/>
      <c r="J24" s="102"/>
      <c r="K24" s="12"/>
      <c r="L24" s="12"/>
      <c r="M24" s="12"/>
      <c r="N24" s="114">
        <f t="shared" si="1"/>
        <v>0</v>
      </c>
      <c r="O24" s="114">
        <f t="shared" si="2"/>
        <v>0</v>
      </c>
      <c r="P24" s="113">
        <f t="shared" si="3"/>
        <v>0</v>
      </c>
      <c r="BC24" s="5" t="str">
        <f t="shared" si="0"/>
        <v/>
      </c>
      <c r="BE24" s="1">
        <f t="shared" si="4"/>
        <v>0</v>
      </c>
      <c r="BF24" s="1">
        <f t="shared" si="5"/>
        <v>0</v>
      </c>
      <c r="BG24" s="1">
        <f t="shared" si="6"/>
        <v>0</v>
      </c>
      <c r="BH24" s="1">
        <f t="shared" si="7"/>
        <v>0</v>
      </c>
      <c r="BI24" s="1">
        <f t="shared" si="8"/>
        <v>0</v>
      </c>
      <c r="BJ24" s="1">
        <f t="shared" si="9"/>
        <v>0</v>
      </c>
      <c r="BK24" s="108"/>
      <c r="BL24" s="108"/>
      <c r="BM24" s="108"/>
      <c r="BN24" s="108"/>
    </row>
    <row r="25" spans="3:66">
      <c r="C25" s="12"/>
      <c r="D25" s="222"/>
      <c r="E25" s="5"/>
      <c r="F25" s="12"/>
      <c r="G25" s="5"/>
      <c r="H25" s="5"/>
      <c r="I25" s="116"/>
      <c r="J25" s="116"/>
      <c r="K25" s="12"/>
      <c r="L25" s="12"/>
      <c r="M25" s="12"/>
      <c r="N25" s="114">
        <f t="shared" si="1"/>
        <v>0</v>
      </c>
      <c r="O25" s="114">
        <f t="shared" si="2"/>
        <v>0</v>
      </c>
      <c r="P25" s="113">
        <f t="shared" si="3"/>
        <v>0</v>
      </c>
      <c r="BC25" s="5" t="str">
        <f t="shared" si="0"/>
        <v/>
      </c>
      <c r="BE25" s="1">
        <f t="shared" si="4"/>
        <v>0</v>
      </c>
      <c r="BF25" s="1">
        <f t="shared" si="5"/>
        <v>0</v>
      </c>
      <c r="BG25" s="1">
        <f t="shared" si="6"/>
        <v>0</v>
      </c>
      <c r="BH25" s="1">
        <f t="shared" si="7"/>
        <v>0</v>
      </c>
      <c r="BI25" s="1">
        <f t="shared" si="8"/>
        <v>0</v>
      </c>
      <c r="BJ25" s="1">
        <f t="shared" si="9"/>
        <v>0</v>
      </c>
      <c r="BK25" s="108"/>
      <c r="BL25" s="108"/>
      <c r="BM25" s="108"/>
      <c r="BN25" s="110"/>
    </row>
    <row r="26" spans="3:66">
      <c r="C26" s="694" t="s">
        <v>582</v>
      </c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115">
        <f>SUM(P15:P25)</f>
        <v>0</v>
      </c>
      <c r="BK26" s="108"/>
      <c r="BL26" s="108"/>
      <c r="BM26" s="108"/>
      <c r="BN26" s="108"/>
    </row>
    <row r="27" spans="3:66">
      <c r="C27" s="12"/>
      <c r="D27" s="688" t="s">
        <v>572</v>
      </c>
      <c r="E27" s="688"/>
      <c r="F27" s="688"/>
      <c r="G27" s="688"/>
      <c r="H27" s="688"/>
      <c r="I27" s="688"/>
      <c r="J27" s="688"/>
      <c r="K27" s="104"/>
      <c r="L27" s="687" t="s">
        <v>575</v>
      </c>
      <c r="M27" s="688"/>
      <c r="N27" s="688"/>
      <c r="O27" s="689"/>
      <c r="P27" s="114">
        <f>+IF(K27="",0,1)</f>
        <v>0</v>
      </c>
      <c r="BC27" s="1" t="s">
        <v>324</v>
      </c>
      <c r="BE27" s="1" t="s">
        <v>567</v>
      </c>
      <c r="BG27" s="1" t="s">
        <v>571</v>
      </c>
      <c r="BK27" s="108"/>
      <c r="BL27" s="108"/>
      <c r="BM27" s="108"/>
      <c r="BN27" s="108"/>
    </row>
    <row r="28" spans="3:66">
      <c r="C28" s="12"/>
      <c r="D28" s="688" t="s">
        <v>573</v>
      </c>
      <c r="E28" s="688"/>
      <c r="F28" s="688"/>
      <c r="G28" s="688"/>
      <c r="H28" s="688"/>
      <c r="I28" s="688"/>
      <c r="J28" s="688"/>
      <c r="K28" s="104"/>
      <c r="L28" s="687" t="s">
        <v>576</v>
      </c>
      <c r="M28" s="688"/>
      <c r="N28" s="688"/>
      <c r="O28" s="689"/>
      <c r="P28" s="114">
        <f>+IF(K28="",0,2)</f>
        <v>0</v>
      </c>
      <c r="BC28" s="1" t="s">
        <v>325</v>
      </c>
      <c r="BE28" s="1" t="s">
        <v>568</v>
      </c>
      <c r="BG28" s="1" t="s">
        <v>570</v>
      </c>
    </row>
    <row r="29" spans="3:66">
      <c r="C29" s="12"/>
      <c r="D29" s="693" t="s">
        <v>574</v>
      </c>
      <c r="E29" s="693"/>
      <c r="F29" s="693"/>
      <c r="G29" s="693"/>
      <c r="H29" s="693"/>
      <c r="I29" s="693"/>
      <c r="J29" s="693"/>
      <c r="K29" s="104"/>
      <c r="L29" s="687" t="s">
        <v>577</v>
      </c>
      <c r="M29" s="688"/>
      <c r="N29" s="688"/>
      <c r="O29" s="689"/>
      <c r="P29" s="114">
        <f>+IF(K29="",0,3)</f>
        <v>0</v>
      </c>
      <c r="BC29" s="1" t="s">
        <v>320</v>
      </c>
      <c r="BE29" s="1" t="s">
        <v>569</v>
      </c>
    </row>
    <row r="30" spans="3:66">
      <c r="C30" s="694" t="s">
        <v>582</v>
      </c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115">
        <f>SUM(P26:P29)</f>
        <v>0</v>
      </c>
      <c r="BC30" s="1" t="s">
        <v>326</v>
      </c>
    </row>
    <row r="31" spans="3:66" s="18" customFormat="1">
      <c r="C31" s="141" t="s">
        <v>802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39"/>
    </row>
    <row r="33" spans="2:57">
      <c r="B33" s="4" t="s">
        <v>583</v>
      </c>
    </row>
    <row r="34" spans="2:57" s="18" customFormat="1" ht="17.25" customHeight="1">
      <c r="C34" s="610" t="s">
        <v>374</v>
      </c>
      <c r="D34" s="613" t="s">
        <v>584</v>
      </c>
      <c r="E34" s="614"/>
      <c r="F34" s="614"/>
      <c r="G34" s="614"/>
      <c r="H34" s="614"/>
      <c r="I34" s="614"/>
      <c r="J34" s="614"/>
      <c r="K34" s="614"/>
      <c r="L34" s="614"/>
      <c r="M34" s="614"/>
      <c r="N34" s="615"/>
      <c r="O34" s="628" t="s">
        <v>589</v>
      </c>
      <c r="P34" s="629"/>
      <c r="Q34" s="629"/>
      <c r="R34" s="629"/>
      <c r="S34" s="686"/>
      <c r="T34" s="628" t="s">
        <v>381</v>
      </c>
      <c r="U34" s="629"/>
      <c r="V34" s="629"/>
      <c r="W34" s="686"/>
      <c r="X34" s="690" t="s">
        <v>581</v>
      </c>
      <c r="BC34" s="1"/>
    </row>
    <row r="35" spans="2:57" s="18" customFormat="1" ht="17.25" customHeight="1">
      <c r="C35" s="611"/>
      <c r="D35" s="616" t="s">
        <v>561</v>
      </c>
      <c r="E35" s="619" t="s">
        <v>585</v>
      </c>
      <c r="F35" s="620"/>
      <c r="G35" s="620"/>
      <c r="H35" s="620"/>
      <c r="I35" s="620"/>
      <c r="J35" s="621"/>
      <c r="K35" s="616" t="s">
        <v>563</v>
      </c>
      <c r="L35" s="616" t="s">
        <v>564</v>
      </c>
      <c r="M35" s="616" t="s">
        <v>565</v>
      </c>
      <c r="N35" s="681" t="s">
        <v>586</v>
      </c>
      <c r="O35" s="631" t="s">
        <v>587</v>
      </c>
      <c r="P35" s="632"/>
      <c r="Q35" s="683" t="s">
        <v>376</v>
      </c>
      <c r="R35" s="723" t="s">
        <v>590</v>
      </c>
      <c r="S35" s="724"/>
      <c r="T35" s="631" t="s">
        <v>587</v>
      </c>
      <c r="U35" s="632"/>
      <c r="V35" s="723" t="s">
        <v>581</v>
      </c>
      <c r="W35" s="724"/>
      <c r="X35" s="691"/>
    </row>
    <row r="36" spans="2:57" s="18" customFormat="1" ht="39.75" customHeight="1">
      <c r="C36" s="611"/>
      <c r="D36" s="617"/>
      <c r="E36" s="622"/>
      <c r="F36" s="623"/>
      <c r="G36" s="623"/>
      <c r="H36" s="623"/>
      <c r="I36" s="623"/>
      <c r="J36" s="624"/>
      <c r="K36" s="617"/>
      <c r="L36" s="617"/>
      <c r="M36" s="617"/>
      <c r="N36" s="682"/>
      <c r="O36" s="633"/>
      <c r="P36" s="634"/>
      <c r="Q36" s="684"/>
      <c r="R36" s="725"/>
      <c r="S36" s="726"/>
      <c r="T36" s="633"/>
      <c r="U36" s="634"/>
      <c r="V36" s="725"/>
      <c r="W36" s="726"/>
      <c r="X36" s="691"/>
    </row>
    <row r="37" spans="2:57" s="18" customFormat="1" ht="17.25" customHeight="1">
      <c r="C37" s="611"/>
      <c r="D37" s="617"/>
      <c r="E37" s="622"/>
      <c r="F37" s="623"/>
      <c r="G37" s="623"/>
      <c r="H37" s="623"/>
      <c r="I37" s="623"/>
      <c r="J37" s="624"/>
      <c r="K37" s="617"/>
      <c r="L37" s="617"/>
      <c r="M37" s="617"/>
      <c r="N37" s="682"/>
      <c r="O37" s="635"/>
      <c r="P37" s="636"/>
      <c r="Q37" s="684"/>
      <c r="R37" s="727"/>
      <c r="S37" s="728"/>
      <c r="T37" s="635"/>
      <c r="U37" s="636"/>
      <c r="V37" s="727"/>
      <c r="W37" s="728"/>
      <c r="X37" s="691"/>
    </row>
    <row r="38" spans="2:57" s="18" customFormat="1" ht="17.25" customHeight="1">
      <c r="C38" s="612"/>
      <c r="D38" s="618"/>
      <c r="E38" s="625"/>
      <c r="F38" s="626"/>
      <c r="G38" s="626"/>
      <c r="H38" s="626"/>
      <c r="I38" s="626"/>
      <c r="J38" s="627"/>
      <c r="K38" s="618"/>
      <c r="L38" s="22" t="s">
        <v>119</v>
      </c>
      <c r="M38" s="117" t="s">
        <v>566</v>
      </c>
      <c r="N38" s="118" t="s">
        <v>566</v>
      </c>
      <c r="O38" s="211" t="s">
        <v>366</v>
      </c>
      <c r="P38" s="212" t="s">
        <v>588</v>
      </c>
      <c r="Q38" s="685"/>
      <c r="R38" s="44" t="s">
        <v>366</v>
      </c>
      <c r="S38" s="44" t="s">
        <v>588</v>
      </c>
      <c r="T38" s="211" t="s">
        <v>366</v>
      </c>
      <c r="U38" s="212" t="s">
        <v>588</v>
      </c>
      <c r="V38" s="44" t="s">
        <v>366</v>
      </c>
      <c r="W38" s="44" t="s">
        <v>588</v>
      </c>
      <c r="X38" s="692"/>
    </row>
    <row r="39" spans="2:57" s="18" customFormat="1" ht="15" customHeight="1">
      <c r="C39" s="28">
        <v>1</v>
      </c>
      <c r="D39" s="28"/>
      <c r="E39" s="661"/>
      <c r="F39" s="662"/>
      <c r="G39" s="662"/>
      <c r="H39" s="662"/>
      <c r="I39" s="662"/>
      <c r="J39" s="663"/>
      <c r="K39" s="29"/>
      <c r="L39" s="29"/>
      <c r="M39" s="102"/>
      <c r="N39" s="102"/>
      <c r="O39" s="30"/>
      <c r="P39" s="29"/>
      <c r="Q39" s="28"/>
      <c r="R39" s="31">
        <f>+IF(O39="",0,BE39)</f>
        <v>0</v>
      </c>
      <c r="S39" s="32">
        <f>+P39/15*1.5</f>
        <v>0</v>
      </c>
      <c r="T39" s="30"/>
      <c r="U39" s="29"/>
      <c r="V39" s="33">
        <f>T39*0.15</f>
        <v>0</v>
      </c>
      <c r="W39" s="33">
        <f>U39*0.1</f>
        <v>0</v>
      </c>
      <c r="X39" s="33">
        <f>R39+S39+V39+W39</f>
        <v>0</v>
      </c>
      <c r="BC39" s="5" t="str">
        <f t="shared" ref="BC39:BC45" si="16">+LEFT(L39,1)</f>
        <v/>
      </c>
      <c r="BD39" s="1"/>
      <c r="BE39" s="1" t="e">
        <f>+IF(N39="ไม่มี",IF(Q39&lt;=30,O39/15*2,((O39/15*2)+(Q39-30)*(VLOOKUP(BC39,$BK$16:$BM$19,2,FALSE)))),IF(Q39&gt;30,O39/15*2.5,((O39/15*2.5)+(Q39-30)*(VLOOKUP(BC39,$BK$20:$BM$27,2,FALSE)))))</f>
        <v>#N/A</v>
      </c>
    </row>
    <row r="40" spans="2:57" s="18" customFormat="1">
      <c r="C40" s="28">
        <v>2</v>
      </c>
      <c r="D40" s="28"/>
      <c r="E40" s="661"/>
      <c r="F40" s="662"/>
      <c r="G40" s="662"/>
      <c r="H40" s="662"/>
      <c r="I40" s="662"/>
      <c r="J40" s="663"/>
      <c r="K40" s="29"/>
      <c r="L40" s="29"/>
      <c r="M40" s="102"/>
      <c r="N40" s="102"/>
      <c r="O40" s="30"/>
      <c r="P40" s="29"/>
      <c r="Q40" s="28"/>
      <c r="R40" s="31">
        <f>+IF(O40="",0,BE40)</f>
        <v>0</v>
      </c>
      <c r="S40" s="32">
        <f t="shared" ref="S40" si="17">+P40/15*1.5</f>
        <v>0</v>
      </c>
      <c r="T40" s="30"/>
      <c r="U40" s="29"/>
      <c r="V40" s="33">
        <f t="shared" ref="V40:V45" si="18">T40*0.15</f>
        <v>0</v>
      </c>
      <c r="W40" s="33">
        <f t="shared" ref="W40:W45" si="19">U40*0.1</f>
        <v>0</v>
      </c>
      <c r="X40" s="33">
        <f t="shared" ref="X40:X45" si="20">R40+S40+V40+W40</f>
        <v>0</v>
      </c>
      <c r="BC40" s="5" t="str">
        <f t="shared" si="16"/>
        <v/>
      </c>
      <c r="BE40" s="1">
        <f>IF(Q40&lt;=30,O40/15*2,((O40/15*2)+(Q40-30)*(VLOOKUP(BC40,$BK$16:$BL$19,2,FALSE))))</f>
        <v>0</v>
      </c>
    </row>
    <row r="41" spans="2:57" s="18" customFormat="1">
      <c r="C41" s="28">
        <v>3</v>
      </c>
      <c r="D41" s="28"/>
      <c r="E41" s="661"/>
      <c r="F41" s="662"/>
      <c r="G41" s="662"/>
      <c r="H41" s="662"/>
      <c r="I41" s="662"/>
      <c r="J41" s="663"/>
      <c r="K41" s="29"/>
      <c r="L41" s="29"/>
      <c r="M41" s="102"/>
      <c r="N41" s="102"/>
      <c r="O41" s="30"/>
      <c r="P41" s="29"/>
      <c r="Q41" s="28"/>
      <c r="R41" s="31">
        <f t="shared" ref="R41:R45" si="21">+IF(O41="",0,BE41)</f>
        <v>0</v>
      </c>
      <c r="S41" s="32">
        <f t="shared" ref="S41:S45" si="22">+P41/15*1.5</f>
        <v>0</v>
      </c>
      <c r="T41" s="30"/>
      <c r="U41" s="29"/>
      <c r="V41" s="33">
        <f t="shared" si="18"/>
        <v>0</v>
      </c>
      <c r="W41" s="33">
        <f t="shared" si="19"/>
        <v>0</v>
      </c>
      <c r="X41" s="33">
        <f t="shared" si="20"/>
        <v>0</v>
      </c>
      <c r="BC41" s="5" t="str">
        <f t="shared" si="16"/>
        <v/>
      </c>
      <c r="BE41" s="1">
        <f t="shared" ref="BE41:BE45" si="23">IF(Q41&lt;=30,O41/15*2,((O41/15*2)+(Q41-30)*(VLOOKUP(BC41,$BK$16:$BL$19,2,FALSE))))</f>
        <v>0</v>
      </c>
    </row>
    <row r="42" spans="2:57" s="18" customFormat="1">
      <c r="C42" s="28">
        <v>4</v>
      </c>
      <c r="D42" s="28"/>
      <c r="E42" s="661"/>
      <c r="F42" s="662"/>
      <c r="G42" s="662"/>
      <c r="H42" s="662"/>
      <c r="I42" s="662"/>
      <c r="J42" s="663"/>
      <c r="K42" s="29"/>
      <c r="L42" s="29"/>
      <c r="M42" s="104"/>
      <c r="N42" s="119"/>
      <c r="O42" s="30"/>
      <c r="P42" s="29"/>
      <c r="Q42" s="28"/>
      <c r="R42" s="31">
        <f t="shared" si="21"/>
        <v>0</v>
      </c>
      <c r="S42" s="32">
        <f t="shared" si="22"/>
        <v>0</v>
      </c>
      <c r="T42" s="30"/>
      <c r="U42" s="29"/>
      <c r="V42" s="33">
        <f t="shared" si="18"/>
        <v>0</v>
      </c>
      <c r="W42" s="33">
        <f t="shared" si="19"/>
        <v>0</v>
      </c>
      <c r="X42" s="33">
        <f t="shared" si="20"/>
        <v>0</v>
      </c>
      <c r="BC42" s="5" t="str">
        <f t="shared" si="16"/>
        <v/>
      </c>
      <c r="BE42" s="1">
        <f t="shared" si="23"/>
        <v>0</v>
      </c>
    </row>
    <row r="43" spans="2:57" s="18" customFormat="1">
      <c r="C43" s="28">
        <v>5</v>
      </c>
      <c r="D43" s="28"/>
      <c r="E43" s="661"/>
      <c r="F43" s="662"/>
      <c r="G43" s="662"/>
      <c r="H43" s="662"/>
      <c r="I43" s="662"/>
      <c r="J43" s="663"/>
      <c r="K43" s="29"/>
      <c r="L43" s="29"/>
      <c r="M43" s="104"/>
      <c r="N43" s="119"/>
      <c r="O43" s="30"/>
      <c r="P43" s="29"/>
      <c r="Q43" s="28"/>
      <c r="R43" s="31">
        <f t="shared" si="21"/>
        <v>0</v>
      </c>
      <c r="S43" s="32">
        <f t="shared" si="22"/>
        <v>0</v>
      </c>
      <c r="T43" s="30"/>
      <c r="U43" s="29"/>
      <c r="V43" s="33">
        <f t="shared" si="18"/>
        <v>0</v>
      </c>
      <c r="W43" s="33">
        <f t="shared" si="19"/>
        <v>0</v>
      </c>
      <c r="X43" s="33">
        <f t="shared" si="20"/>
        <v>0</v>
      </c>
      <c r="BC43" s="5" t="str">
        <f t="shared" si="16"/>
        <v/>
      </c>
      <c r="BE43" s="1">
        <f t="shared" si="23"/>
        <v>0</v>
      </c>
    </row>
    <row r="44" spans="2:57" s="18" customFormat="1">
      <c r="C44" s="28">
        <v>6</v>
      </c>
      <c r="D44" s="28"/>
      <c r="E44" s="661"/>
      <c r="F44" s="662"/>
      <c r="G44" s="662"/>
      <c r="H44" s="662"/>
      <c r="I44" s="662"/>
      <c r="J44" s="663"/>
      <c r="K44" s="29"/>
      <c r="L44" s="29"/>
      <c r="M44" s="104"/>
      <c r="N44" s="119"/>
      <c r="O44" s="30"/>
      <c r="P44" s="29"/>
      <c r="Q44" s="28"/>
      <c r="R44" s="31">
        <f t="shared" si="21"/>
        <v>0</v>
      </c>
      <c r="S44" s="32">
        <f t="shared" si="22"/>
        <v>0</v>
      </c>
      <c r="T44" s="30"/>
      <c r="U44" s="29"/>
      <c r="V44" s="33">
        <f t="shared" si="18"/>
        <v>0</v>
      </c>
      <c r="W44" s="33">
        <f t="shared" si="19"/>
        <v>0</v>
      </c>
      <c r="X44" s="33">
        <f t="shared" si="20"/>
        <v>0</v>
      </c>
      <c r="BC44" s="5" t="str">
        <f t="shared" si="16"/>
        <v/>
      </c>
      <c r="BE44" s="1">
        <f t="shared" si="23"/>
        <v>0</v>
      </c>
    </row>
    <row r="45" spans="2:57" s="18" customFormat="1">
      <c r="C45" s="28">
        <v>7</v>
      </c>
      <c r="D45" s="25"/>
      <c r="E45" s="661"/>
      <c r="F45" s="662"/>
      <c r="G45" s="662"/>
      <c r="H45" s="662"/>
      <c r="I45" s="662"/>
      <c r="J45" s="663"/>
      <c r="K45" s="29"/>
      <c r="L45" s="26"/>
      <c r="M45" s="104"/>
      <c r="N45" s="120"/>
      <c r="O45" s="27"/>
      <c r="P45" s="26"/>
      <c r="Q45" s="25"/>
      <c r="R45" s="31">
        <f t="shared" si="21"/>
        <v>0</v>
      </c>
      <c r="S45" s="32">
        <f t="shared" si="22"/>
        <v>0</v>
      </c>
      <c r="T45" s="27"/>
      <c r="U45" s="26"/>
      <c r="V45" s="33">
        <f t="shared" si="18"/>
        <v>0</v>
      </c>
      <c r="W45" s="33">
        <f t="shared" si="19"/>
        <v>0</v>
      </c>
      <c r="X45" s="33">
        <f t="shared" si="20"/>
        <v>0</v>
      </c>
      <c r="BC45" s="5" t="str">
        <f t="shared" si="16"/>
        <v/>
      </c>
      <c r="BE45" s="1">
        <f t="shared" si="23"/>
        <v>0</v>
      </c>
    </row>
    <row r="46" spans="2:57" s="18" customFormat="1">
      <c r="C46" s="640" t="s">
        <v>591</v>
      </c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64"/>
      <c r="X46" s="21">
        <f>SUM(X39:X45)</f>
        <v>0</v>
      </c>
    </row>
    <row r="48" spans="2:57">
      <c r="B48" s="1" t="s">
        <v>592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  <row r="49" spans="3:58" ht="31.15" customHeight="1">
      <c r="C49" s="643" t="s">
        <v>374</v>
      </c>
      <c r="D49" s="643" t="s">
        <v>561</v>
      </c>
      <c r="E49" s="649" t="s">
        <v>562</v>
      </c>
      <c r="F49" s="650"/>
      <c r="G49" s="650"/>
      <c r="H49" s="651"/>
      <c r="I49" s="643" t="s">
        <v>563</v>
      </c>
      <c r="J49" s="658" t="s">
        <v>593</v>
      </c>
      <c r="K49" s="575" t="s">
        <v>376</v>
      </c>
      <c r="L49" s="658" t="s">
        <v>595</v>
      </c>
      <c r="M49" s="665" t="s">
        <v>594</v>
      </c>
      <c r="N49" s="671" t="s">
        <v>590</v>
      </c>
      <c r="O49" s="668" t="s">
        <v>598</v>
      </c>
      <c r="P49" s="669"/>
      <c r="Q49" s="668" t="s">
        <v>599</v>
      </c>
      <c r="R49" s="670"/>
      <c r="S49" s="670"/>
      <c r="T49" s="670"/>
      <c r="U49" s="670"/>
      <c r="V49" s="669"/>
      <c r="W49" s="676" t="s">
        <v>581</v>
      </c>
    </row>
    <row r="50" spans="3:58" ht="23.45" customHeight="1">
      <c r="C50" s="644"/>
      <c r="D50" s="644"/>
      <c r="E50" s="652"/>
      <c r="F50" s="653"/>
      <c r="G50" s="653"/>
      <c r="H50" s="654"/>
      <c r="I50" s="644"/>
      <c r="J50" s="659"/>
      <c r="K50" s="545"/>
      <c r="L50" s="660"/>
      <c r="M50" s="666"/>
      <c r="N50" s="672"/>
      <c r="O50" s="679" t="s">
        <v>596</v>
      </c>
      <c r="P50" s="679" t="s">
        <v>597</v>
      </c>
      <c r="Q50" s="668" t="s">
        <v>600</v>
      </c>
      <c r="R50" s="669"/>
      <c r="S50" s="668" t="s">
        <v>602</v>
      </c>
      <c r="T50" s="670"/>
      <c r="U50" s="669"/>
      <c r="V50" s="674" t="s">
        <v>605</v>
      </c>
      <c r="W50" s="677"/>
    </row>
    <row r="51" spans="3:58" ht="56.45" customHeight="1">
      <c r="C51" s="645"/>
      <c r="D51" s="645"/>
      <c r="E51" s="655"/>
      <c r="F51" s="656"/>
      <c r="G51" s="656"/>
      <c r="H51" s="657"/>
      <c r="I51" s="645"/>
      <c r="J51" s="123" t="s">
        <v>119</v>
      </c>
      <c r="K51" s="546"/>
      <c r="L51" s="659"/>
      <c r="M51" s="667"/>
      <c r="N51" s="673"/>
      <c r="O51" s="680"/>
      <c r="P51" s="680"/>
      <c r="Q51" s="137" t="s">
        <v>600</v>
      </c>
      <c r="R51" s="131" t="s">
        <v>601</v>
      </c>
      <c r="S51" s="213" t="s">
        <v>603</v>
      </c>
      <c r="T51" s="213" t="s">
        <v>604</v>
      </c>
      <c r="U51" s="131" t="s">
        <v>601</v>
      </c>
      <c r="V51" s="675"/>
      <c r="W51" s="678"/>
      <c r="BE51" s="132" t="s">
        <v>327</v>
      </c>
      <c r="BF51" s="132" t="s">
        <v>328</v>
      </c>
    </row>
    <row r="52" spans="3:58">
      <c r="C52" s="128">
        <v>1</v>
      </c>
      <c r="D52" s="128"/>
      <c r="E52" s="589"/>
      <c r="F52" s="590"/>
      <c r="G52" s="590"/>
      <c r="H52" s="591"/>
      <c r="I52" s="128"/>
      <c r="J52" s="128"/>
      <c r="K52" s="128"/>
      <c r="L52" s="128"/>
      <c r="M52" s="130"/>
      <c r="N52" s="135">
        <f t="shared" ref="N52:N57" si="24">+IF(M52="",0,IF(M52="หลัก",L52*1,L52*0.5))</f>
        <v>0</v>
      </c>
      <c r="O52" s="128"/>
      <c r="P52" s="128"/>
      <c r="Q52" s="128"/>
      <c r="R52" s="135">
        <f>Q52*1.5/15</f>
        <v>0</v>
      </c>
      <c r="S52" s="128"/>
      <c r="T52" s="128"/>
      <c r="U52" s="135">
        <f>+BE52+BF52</f>
        <v>0</v>
      </c>
      <c r="V52" s="128"/>
      <c r="W52" s="136">
        <f>+N52+O52+P52+R52+U52+V52</f>
        <v>0</v>
      </c>
      <c r="BE52" s="1">
        <f>+S52*0.2</f>
        <v>0</v>
      </c>
      <c r="BF52" s="1">
        <f>+T52*0.4</f>
        <v>0</v>
      </c>
    </row>
    <row r="53" spans="3:58">
      <c r="C53" s="128">
        <v>1</v>
      </c>
      <c r="D53" s="128"/>
      <c r="E53" s="589"/>
      <c r="F53" s="590"/>
      <c r="G53" s="590"/>
      <c r="H53" s="591"/>
      <c r="I53" s="128"/>
      <c r="J53" s="128"/>
      <c r="K53" s="128"/>
      <c r="L53" s="128"/>
      <c r="M53" s="130"/>
      <c r="N53" s="135">
        <f t="shared" si="24"/>
        <v>0</v>
      </c>
      <c r="O53" s="128"/>
      <c r="P53" s="128"/>
      <c r="Q53" s="128"/>
      <c r="R53" s="135">
        <f t="shared" ref="R53:R55" si="25">Q53*1.5/15</f>
        <v>0</v>
      </c>
      <c r="S53" s="128"/>
      <c r="T53" s="128"/>
      <c r="U53" s="135">
        <f t="shared" ref="U53:U55" si="26">+BE53+BF53</f>
        <v>0</v>
      </c>
      <c r="V53" s="128"/>
      <c r="W53" s="136">
        <f t="shared" ref="W53:W55" si="27">+N53+O53+P53+R53+U53+V53</f>
        <v>0</v>
      </c>
      <c r="BE53" s="1">
        <f t="shared" ref="BE53" si="28">+S53*0.2</f>
        <v>0</v>
      </c>
      <c r="BF53" s="1">
        <f t="shared" ref="BF53" si="29">+T53*0.4</f>
        <v>0</v>
      </c>
    </row>
    <row r="54" spans="3:58">
      <c r="C54" s="128">
        <v>2</v>
      </c>
      <c r="D54" s="128"/>
      <c r="E54" s="589"/>
      <c r="F54" s="590"/>
      <c r="G54" s="590"/>
      <c r="H54" s="591"/>
      <c r="I54" s="128"/>
      <c r="J54" s="128"/>
      <c r="K54" s="128"/>
      <c r="L54" s="128"/>
      <c r="M54" s="130"/>
      <c r="N54" s="135">
        <f t="shared" si="24"/>
        <v>0</v>
      </c>
      <c r="O54" s="128"/>
      <c r="P54" s="128"/>
      <c r="Q54" s="128"/>
      <c r="R54" s="135">
        <f t="shared" si="25"/>
        <v>0</v>
      </c>
      <c r="S54" s="128"/>
      <c r="T54" s="128"/>
      <c r="U54" s="135">
        <f t="shared" si="26"/>
        <v>0</v>
      </c>
      <c r="V54" s="128"/>
      <c r="W54" s="136">
        <f t="shared" si="27"/>
        <v>0</v>
      </c>
      <c r="BE54" s="1">
        <f t="shared" ref="BE54:BE59" si="30">+S54*0.2</f>
        <v>0</v>
      </c>
      <c r="BF54" s="1">
        <f t="shared" ref="BF54:BF59" si="31">+T54*0.4</f>
        <v>0</v>
      </c>
    </row>
    <row r="55" spans="3:58">
      <c r="C55" s="128"/>
      <c r="D55" s="128"/>
      <c r="E55" s="589"/>
      <c r="F55" s="590"/>
      <c r="G55" s="590"/>
      <c r="H55" s="591"/>
      <c r="I55" s="128"/>
      <c r="J55" s="128"/>
      <c r="K55" s="128"/>
      <c r="L55" s="128"/>
      <c r="M55" s="130"/>
      <c r="N55" s="135">
        <f t="shared" si="24"/>
        <v>0</v>
      </c>
      <c r="O55" s="128"/>
      <c r="P55" s="128"/>
      <c r="Q55" s="128"/>
      <c r="R55" s="135">
        <f t="shared" si="25"/>
        <v>0</v>
      </c>
      <c r="S55" s="128"/>
      <c r="T55" s="128"/>
      <c r="U55" s="135">
        <f t="shared" si="26"/>
        <v>0</v>
      </c>
      <c r="V55" s="128"/>
      <c r="W55" s="136">
        <f t="shared" si="27"/>
        <v>0</v>
      </c>
      <c r="BE55" s="1">
        <f t="shared" si="30"/>
        <v>0</v>
      </c>
      <c r="BF55" s="1">
        <f t="shared" si="31"/>
        <v>0</v>
      </c>
    </row>
    <row r="56" spans="3:58">
      <c r="C56" s="128">
        <v>3</v>
      </c>
      <c r="D56" s="128"/>
      <c r="E56" s="589"/>
      <c r="F56" s="590"/>
      <c r="G56" s="590"/>
      <c r="H56" s="591"/>
      <c r="I56" s="128"/>
      <c r="J56" s="128"/>
      <c r="K56" s="128"/>
      <c r="L56" s="128"/>
      <c r="M56" s="130"/>
      <c r="N56" s="135">
        <f t="shared" si="24"/>
        <v>0</v>
      </c>
      <c r="O56" s="128"/>
      <c r="P56" s="128"/>
      <c r="Q56" s="128"/>
      <c r="R56" s="135">
        <f t="shared" ref="R56:R59" si="32">Q56*1.5/15</f>
        <v>0</v>
      </c>
      <c r="S56" s="128"/>
      <c r="T56" s="128"/>
      <c r="U56" s="135">
        <f t="shared" ref="U56:U59" si="33">+BE56+BF56</f>
        <v>0</v>
      </c>
      <c r="V56" s="128"/>
      <c r="W56" s="136">
        <f t="shared" ref="W56:W59" si="34">+N56+O56+P56+R56+U56+V56</f>
        <v>0</v>
      </c>
      <c r="BE56" s="1">
        <f t="shared" si="30"/>
        <v>0</v>
      </c>
      <c r="BF56" s="1">
        <f t="shared" si="31"/>
        <v>0</v>
      </c>
    </row>
    <row r="57" spans="3:58">
      <c r="C57" s="128"/>
      <c r="D57" s="128"/>
      <c r="E57" s="589"/>
      <c r="F57" s="590"/>
      <c r="G57" s="590"/>
      <c r="H57" s="591"/>
      <c r="I57" s="128"/>
      <c r="J57" s="128"/>
      <c r="K57" s="128"/>
      <c r="L57" s="128"/>
      <c r="M57" s="130"/>
      <c r="N57" s="135">
        <f t="shared" si="24"/>
        <v>0</v>
      </c>
      <c r="O57" s="128"/>
      <c r="P57" s="128"/>
      <c r="Q57" s="128"/>
      <c r="R57" s="135">
        <f t="shared" si="32"/>
        <v>0</v>
      </c>
      <c r="S57" s="128"/>
      <c r="T57" s="128"/>
      <c r="U57" s="135">
        <f t="shared" si="33"/>
        <v>0</v>
      </c>
      <c r="V57" s="128"/>
      <c r="W57" s="136">
        <f t="shared" si="34"/>
        <v>0</v>
      </c>
      <c r="BE57" s="1">
        <f t="shared" si="30"/>
        <v>0</v>
      </c>
      <c r="BF57" s="1">
        <f t="shared" si="31"/>
        <v>0</v>
      </c>
    </row>
    <row r="58" spans="3:58">
      <c r="C58" s="128"/>
      <c r="D58" s="128"/>
      <c r="E58" s="589"/>
      <c r="F58" s="590"/>
      <c r="G58" s="590"/>
      <c r="H58" s="591"/>
      <c r="I58" s="128"/>
      <c r="J58" s="129"/>
      <c r="K58" s="128"/>
      <c r="L58" s="128"/>
      <c r="M58" s="130"/>
      <c r="N58" s="135">
        <f t="shared" ref="N56:N59" si="35">+IF(M58="",0,IF(M58="หลัก",L58*1,L58*0.5))</f>
        <v>0</v>
      </c>
      <c r="O58" s="128"/>
      <c r="P58" s="128"/>
      <c r="Q58" s="128"/>
      <c r="R58" s="135">
        <f t="shared" si="32"/>
        <v>0</v>
      </c>
      <c r="S58" s="128"/>
      <c r="T58" s="128"/>
      <c r="U58" s="135">
        <f t="shared" si="33"/>
        <v>0</v>
      </c>
      <c r="V58" s="128"/>
      <c r="W58" s="136">
        <f t="shared" si="34"/>
        <v>0</v>
      </c>
      <c r="BE58" s="1">
        <f t="shared" si="30"/>
        <v>0</v>
      </c>
      <c r="BF58" s="1">
        <f t="shared" si="31"/>
        <v>0</v>
      </c>
    </row>
    <row r="59" spans="3:58">
      <c r="C59" s="128"/>
      <c r="D59" s="128"/>
      <c r="E59" s="589"/>
      <c r="F59" s="590"/>
      <c r="G59" s="590"/>
      <c r="H59" s="591"/>
      <c r="I59" s="128"/>
      <c r="J59" s="129"/>
      <c r="K59" s="128"/>
      <c r="L59" s="128"/>
      <c r="M59" s="130"/>
      <c r="N59" s="135">
        <f t="shared" si="35"/>
        <v>0</v>
      </c>
      <c r="O59" s="128"/>
      <c r="P59" s="128"/>
      <c r="Q59" s="128"/>
      <c r="R59" s="135">
        <f t="shared" si="32"/>
        <v>0</v>
      </c>
      <c r="S59" s="128"/>
      <c r="T59" s="128"/>
      <c r="U59" s="135">
        <f t="shared" si="33"/>
        <v>0</v>
      </c>
      <c r="V59" s="128"/>
      <c r="W59" s="136">
        <f t="shared" si="34"/>
        <v>0</v>
      </c>
      <c r="BE59" s="1">
        <f t="shared" si="30"/>
        <v>0</v>
      </c>
      <c r="BF59" s="1">
        <f t="shared" si="31"/>
        <v>0</v>
      </c>
    </row>
    <row r="60" spans="3:58">
      <c r="C60" s="595" t="s">
        <v>606</v>
      </c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7"/>
      <c r="W60" s="136">
        <f>SUM(W52:W59)</f>
        <v>0</v>
      </c>
    </row>
    <row r="61" spans="3:58" s="18" customFormat="1">
      <c r="C61" s="141" t="s">
        <v>803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39"/>
    </row>
    <row r="62" spans="3:58" s="18" customFormat="1">
      <c r="C62" s="141" t="s">
        <v>804</v>
      </c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39"/>
    </row>
    <row r="63" spans="3:58" s="18" customFormat="1">
      <c r="C63" s="141" t="s">
        <v>810</v>
      </c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39"/>
    </row>
    <row r="64" spans="3:58" s="18" customFormat="1">
      <c r="C64" s="13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9"/>
    </row>
    <row r="65" spans="2:59" s="18" customFormat="1">
      <c r="B65" s="38" t="s">
        <v>607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9"/>
    </row>
    <row r="66" spans="2:59" ht="31.15" customHeight="1">
      <c r="C66" s="643" t="s">
        <v>374</v>
      </c>
      <c r="D66" s="646" t="s">
        <v>561</v>
      </c>
      <c r="E66" s="649" t="s">
        <v>562</v>
      </c>
      <c r="F66" s="650"/>
      <c r="G66" s="650"/>
      <c r="H66" s="651"/>
      <c r="I66" s="643" t="s">
        <v>563</v>
      </c>
      <c r="J66" s="658" t="s">
        <v>593</v>
      </c>
      <c r="K66" s="658" t="s">
        <v>376</v>
      </c>
      <c r="L66" s="658" t="s">
        <v>608</v>
      </c>
      <c r="M66" s="704" t="s">
        <v>609</v>
      </c>
      <c r="N66" s="705"/>
      <c r="O66" s="706"/>
      <c r="P66" s="668" t="s">
        <v>612</v>
      </c>
      <c r="Q66" s="670"/>
      <c r="R66" s="669"/>
      <c r="S66" s="668" t="s">
        <v>154</v>
      </c>
      <c r="T66" s="669"/>
      <c r="U66" s="709" t="s">
        <v>590</v>
      </c>
    </row>
    <row r="67" spans="2:59" ht="23.45" customHeight="1">
      <c r="C67" s="644"/>
      <c r="D67" s="647"/>
      <c r="E67" s="652"/>
      <c r="F67" s="653"/>
      <c r="G67" s="653"/>
      <c r="H67" s="654"/>
      <c r="I67" s="644"/>
      <c r="J67" s="659"/>
      <c r="K67" s="660"/>
      <c r="L67" s="660"/>
      <c r="M67" s="665" t="s">
        <v>610</v>
      </c>
      <c r="N67" s="665" t="s">
        <v>611</v>
      </c>
      <c r="O67" s="671" t="s">
        <v>590</v>
      </c>
      <c r="P67" s="679" t="s">
        <v>805</v>
      </c>
      <c r="Q67" s="679" t="s">
        <v>806</v>
      </c>
      <c r="R67" s="671" t="s">
        <v>590</v>
      </c>
      <c r="S67" s="707" t="s">
        <v>600</v>
      </c>
      <c r="T67" s="712" t="s">
        <v>590</v>
      </c>
      <c r="U67" s="710"/>
    </row>
    <row r="68" spans="2:59" ht="56.45" customHeight="1">
      <c r="C68" s="645"/>
      <c r="D68" s="648"/>
      <c r="E68" s="655"/>
      <c r="F68" s="656"/>
      <c r="G68" s="656"/>
      <c r="H68" s="657"/>
      <c r="I68" s="645"/>
      <c r="J68" s="123" t="s">
        <v>119</v>
      </c>
      <c r="K68" s="659"/>
      <c r="L68" s="659"/>
      <c r="M68" s="667"/>
      <c r="N68" s="667"/>
      <c r="O68" s="673"/>
      <c r="P68" s="680"/>
      <c r="Q68" s="680"/>
      <c r="R68" s="673"/>
      <c r="S68" s="708"/>
      <c r="T68" s="713"/>
      <c r="U68" s="711"/>
      <c r="BB68" s="1" t="s">
        <v>330</v>
      </c>
      <c r="BC68" s="1" t="s">
        <v>306</v>
      </c>
      <c r="BD68" s="1" t="s">
        <v>329</v>
      </c>
      <c r="BF68" s="1" t="s">
        <v>331</v>
      </c>
      <c r="BG68" s="1" t="s">
        <v>332</v>
      </c>
    </row>
    <row r="69" spans="2:59">
      <c r="C69" s="128">
        <v>1</v>
      </c>
      <c r="D69" s="128"/>
      <c r="E69" s="589"/>
      <c r="F69" s="590"/>
      <c r="G69" s="590"/>
      <c r="H69" s="591"/>
      <c r="I69" s="128"/>
      <c r="J69" s="128"/>
      <c r="K69" s="128"/>
      <c r="L69" s="128"/>
      <c r="M69" s="130"/>
      <c r="N69" s="134"/>
      <c r="O69" s="135">
        <f t="shared" ref="O69:O80" si="36">+IF(M69="",0,SUM(BB69:BD69))</f>
        <v>0</v>
      </c>
      <c r="P69" s="214"/>
      <c r="Q69" s="214"/>
      <c r="R69" s="135">
        <f t="shared" ref="R69:R74" si="37">SUM(BF69:BG69)</f>
        <v>0</v>
      </c>
      <c r="S69" s="128"/>
      <c r="T69" s="127">
        <f>S69*1.5/15</f>
        <v>0</v>
      </c>
      <c r="U69" s="136">
        <f>+O69+R69+T69</f>
        <v>0</v>
      </c>
      <c r="BB69" s="1">
        <f>IF(N69="",0,IF(N69="Thesis",0,IF(N69="Dissertation",0,IF(M69="Main",L69*1,L69*0.5))))</f>
        <v>0</v>
      </c>
      <c r="BC69" s="1">
        <f>IF(N69="",0,IF(N69="IS",0,IF(N69="Dissertation",0,IF(M69="Main",L69*1.5,L69*0.5))))</f>
        <v>0</v>
      </c>
      <c r="BD69" s="1">
        <f>IF(N69="",0,IF(N69="Thesis",0,IF(N69="IS",0,IF(M69="Main",L69*3,L69*1))))</f>
        <v>0</v>
      </c>
      <c r="BF69" s="1">
        <f>+IF(P69="",0,IF(P69="Dissertation",L69*0.5,L69*0.2))</f>
        <v>0</v>
      </c>
      <c r="BG69" s="1">
        <f>IF(Q69="",0,IF(Q69="IS",L69*0.2,IF(Q69="Thesis",L69*0.3,L69*0.6)))</f>
        <v>0</v>
      </c>
    </row>
    <row r="70" spans="2:59">
      <c r="C70" s="128"/>
      <c r="D70" s="128"/>
      <c r="E70" s="589"/>
      <c r="F70" s="590"/>
      <c r="G70" s="590"/>
      <c r="H70" s="591"/>
      <c r="I70" s="128"/>
      <c r="J70" s="128"/>
      <c r="K70" s="128"/>
      <c r="L70" s="128"/>
      <c r="M70" s="130"/>
      <c r="N70" s="134"/>
      <c r="O70" s="135">
        <f t="shared" si="36"/>
        <v>0</v>
      </c>
      <c r="P70" s="214"/>
      <c r="Q70" s="214"/>
      <c r="R70" s="135">
        <f t="shared" si="37"/>
        <v>0</v>
      </c>
      <c r="S70" s="128"/>
      <c r="T70" s="127">
        <f t="shared" ref="T70:T74" si="38">S70*1.5/15</f>
        <v>0</v>
      </c>
      <c r="U70" s="136">
        <f t="shared" ref="U70:U80" si="39">+O70+R70+T70</f>
        <v>0</v>
      </c>
      <c r="BB70" s="1">
        <f t="shared" ref="BB70:BB80" si="40">IF(N70="",0,IF(N70="Thesis",0,IF(N70="Dissertation",0,IF(M70="Main",L70*1,L70*0.5))))</f>
        <v>0</v>
      </c>
      <c r="BC70" s="1">
        <f t="shared" ref="BC70:BC80" si="41">IF(N70="",0,IF(N70="IS",0,IF(N70="Dissertation",0,IF(M70="Main",L70*1.5,L70*0.5))))</f>
        <v>0</v>
      </c>
      <c r="BD70" s="1">
        <f t="shared" ref="BD70:BD80" si="42">IF(N70="",0,IF(N70="Thesis",0,IF(N70="IS",0,IF(M70="Main",L70*3,L70*1))))</f>
        <v>0</v>
      </c>
      <c r="BF70" s="1">
        <f t="shared" ref="BF70:BF80" si="43">+IF(P70="",0,IF(P70="Dissertation",L70*0.5,L70*0.2))</f>
        <v>0</v>
      </c>
      <c r="BG70" s="1">
        <f t="shared" ref="BG70:BG80" si="44">IF(Q70="",0,IF(Q70="IS",L70*0.2,IF(Q70="Thesis",L70*0.3,L70*0.6)))</f>
        <v>0</v>
      </c>
    </row>
    <row r="71" spans="2:59">
      <c r="C71" s="128"/>
      <c r="D71" s="128"/>
      <c r="E71" s="589"/>
      <c r="F71" s="590"/>
      <c r="G71" s="590"/>
      <c r="H71" s="591"/>
      <c r="I71" s="128"/>
      <c r="J71" s="128"/>
      <c r="K71" s="128"/>
      <c r="L71" s="128"/>
      <c r="M71" s="130"/>
      <c r="N71" s="134"/>
      <c r="O71" s="135">
        <f t="shared" si="36"/>
        <v>0</v>
      </c>
      <c r="P71" s="214"/>
      <c r="Q71" s="214"/>
      <c r="R71" s="135">
        <f t="shared" si="37"/>
        <v>0</v>
      </c>
      <c r="S71" s="128"/>
      <c r="T71" s="127">
        <f t="shared" si="38"/>
        <v>0</v>
      </c>
      <c r="U71" s="136">
        <f t="shared" si="39"/>
        <v>0</v>
      </c>
      <c r="BB71" s="1">
        <f t="shared" si="40"/>
        <v>0</v>
      </c>
      <c r="BC71" s="1">
        <f t="shared" si="41"/>
        <v>0</v>
      </c>
      <c r="BD71" s="1">
        <f t="shared" si="42"/>
        <v>0</v>
      </c>
      <c r="BF71" s="1">
        <f t="shared" si="43"/>
        <v>0</v>
      </c>
      <c r="BG71" s="1">
        <f t="shared" si="44"/>
        <v>0</v>
      </c>
    </row>
    <row r="72" spans="2:59">
      <c r="C72" s="128"/>
      <c r="D72" s="128"/>
      <c r="E72" s="589"/>
      <c r="F72" s="590"/>
      <c r="G72" s="590"/>
      <c r="H72" s="591"/>
      <c r="I72" s="128"/>
      <c r="J72" s="128"/>
      <c r="K72" s="128"/>
      <c r="L72" s="128"/>
      <c r="M72" s="130"/>
      <c r="N72" s="134"/>
      <c r="O72" s="135">
        <f t="shared" si="36"/>
        <v>0</v>
      </c>
      <c r="P72" s="214"/>
      <c r="Q72" s="214"/>
      <c r="R72" s="135">
        <f t="shared" si="37"/>
        <v>0</v>
      </c>
      <c r="S72" s="128"/>
      <c r="T72" s="127">
        <f t="shared" si="38"/>
        <v>0</v>
      </c>
      <c r="U72" s="136">
        <f t="shared" si="39"/>
        <v>0</v>
      </c>
      <c r="BB72" s="1">
        <f t="shared" si="40"/>
        <v>0</v>
      </c>
      <c r="BC72" s="1">
        <f t="shared" si="41"/>
        <v>0</v>
      </c>
      <c r="BD72" s="1">
        <f t="shared" si="42"/>
        <v>0</v>
      </c>
      <c r="BF72" s="1">
        <f t="shared" si="43"/>
        <v>0</v>
      </c>
      <c r="BG72" s="1">
        <f t="shared" si="44"/>
        <v>0</v>
      </c>
    </row>
    <row r="73" spans="2:59">
      <c r="C73" s="128"/>
      <c r="D73" s="128"/>
      <c r="E73" s="589"/>
      <c r="F73" s="590"/>
      <c r="G73" s="590"/>
      <c r="H73" s="591"/>
      <c r="I73" s="128"/>
      <c r="J73" s="128"/>
      <c r="K73" s="128"/>
      <c r="L73" s="128"/>
      <c r="M73" s="130"/>
      <c r="N73" s="134"/>
      <c r="O73" s="135">
        <f t="shared" si="36"/>
        <v>0</v>
      </c>
      <c r="P73" s="214"/>
      <c r="Q73" s="214"/>
      <c r="R73" s="135">
        <f t="shared" si="37"/>
        <v>0</v>
      </c>
      <c r="S73" s="128"/>
      <c r="T73" s="127">
        <f t="shared" si="38"/>
        <v>0</v>
      </c>
      <c r="U73" s="136">
        <f t="shared" si="39"/>
        <v>0</v>
      </c>
      <c r="BB73" s="1">
        <f t="shared" si="40"/>
        <v>0</v>
      </c>
      <c r="BC73" s="1">
        <f t="shared" si="41"/>
        <v>0</v>
      </c>
      <c r="BD73" s="1">
        <f t="shared" si="42"/>
        <v>0</v>
      </c>
      <c r="BF73" s="1">
        <f t="shared" si="43"/>
        <v>0</v>
      </c>
      <c r="BG73" s="1">
        <f t="shared" si="44"/>
        <v>0</v>
      </c>
    </row>
    <row r="74" spans="2:59">
      <c r="C74" s="128"/>
      <c r="D74" s="128"/>
      <c r="E74" s="589"/>
      <c r="F74" s="590"/>
      <c r="G74" s="590"/>
      <c r="H74" s="591"/>
      <c r="I74" s="128"/>
      <c r="J74" s="128"/>
      <c r="K74" s="128"/>
      <c r="L74" s="128"/>
      <c r="M74" s="130"/>
      <c r="N74" s="134"/>
      <c r="O74" s="135">
        <f t="shared" si="36"/>
        <v>0</v>
      </c>
      <c r="P74" s="214"/>
      <c r="Q74" s="214"/>
      <c r="R74" s="135">
        <f t="shared" si="37"/>
        <v>0</v>
      </c>
      <c r="S74" s="128"/>
      <c r="T74" s="127">
        <f t="shared" si="38"/>
        <v>0</v>
      </c>
      <c r="U74" s="136">
        <f t="shared" si="39"/>
        <v>0</v>
      </c>
      <c r="BB74" s="1">
        <f t="shared" si="40"/>
        <v>0</v>
      </c>
      <c r="BC74" s="1">
        <f t="shared" si="41"/>
        <v>0</v>
      </c>
      <c r="BD74" s="1">
        <f t="shared" si="42"/>
        <v>0</v>
      </c>
      <c r="BF74" s="1">
        <f t="shared" si="43"/>
        <v>0</v>
      </c>
      <c r="BG74" s="1">
        <f t="shared" si="44"/>
        <v>0</v>
      </c>
    </row>
    <row r="75" spans="2:59">
      <c r="C75" s="128"/>
      <c r="D75" s="128"/>
      <c r="E75" s="124"/>
      <c r="F75" s="125"/>
      <c r="G75" s="125"/>
      <c r="H75" s="126"/>
      <c r="I75" s="128"/>
      <c r="J75" s="128"/>
      <c r="K75" s="128"/>
      <c r="L75" s="128"/>
      <c r="M75" s="130"/>
      <c r="N75" s="134"/>
      <c r="O75" s="135">
        <f t="shared" si="36"/>
        <v>0</v>
      </c>
      <c r="P75" s="214"/>
      <c r="Q75" s="214"/>
      <c r="R75" s="135">
        <f t="shared" ref="R75:R80" si="45">SUM(BF75:BG75)</f>
        <v>0</v>
      </c>
      <c r="S75" s="128"/>
      <c r="T75" s="127">
        <f t="shared" ref="T75:T80" si="46">S75*1.5/15</f>
        <v>0</v>
      </c>
      <c r="U75" s="136">
        <f t="shared" si="39"/>
        <v>0</v>
      </c>
      <c r="BB75" s="1">
        <f t="shared" si="40"/>
        <v>0</v>
      </c>
      <c r="BC75" s="1">
        <f t="shared" si="41"/>
        <v>0</v>
      </c>
      <c r="BD75" s="1">
        <f t="shared" si="42"/>
        <v>0</v>
      </c>
      <c r="BF75" s="1">
        <f t="shared" si="43"/>
        <v>0</v>
      </c>
      <c r="BG75" s="1">
        <f t="shared" si="44"/>
        <v>0</v>
      </c>
    </row>
    <row r="76" spans="2:59">
      <c r="C76" s="128"/>
      <c r="D76" s="128"/>
      <c r="E76" s="124"/>
      <c r="F76" s="125"/>
      <c r="G76" s="125"/>
      <c r="H76" s="126"/>
      <c r="I76" s="128"/>
      <c r="J76" s="128"/>
      <c r="K76" s="128"/>
      <c r="L76" s="128"/>
      <c r="M76" s="130"/>
      <c r="N76" s="134"/>
      <c r="O76" s="135">
        <f t="shared" si="36"/>
        <v>0</v>
      </c>
      <c r="P76" s="214"/>
      <c r="Q76" s="214"/>
      <c r="R76" s="135">
        <f t="shared" si="45"/>
        <v>0</v>
      </c>
      <c r="S76" s="128"/>
      <c r="T76" s="127">
        <f t="shared" si="46"/>
        <v>0</v>
      </c>
      <c r="U76" s="136">
        <f t="shared" si="39"/>
        <v>0</v>
      </c>
      <c r="BB76" s="1">
        <f t="shared" si="40"/>
        <v>0</v>
      </c>
      <c r="BC76" s="1">
        <f t="shared" si="41"/>
        <v>0</v>
      </c>
      <c r="BD76" s="1">
        <f t="shared" si="42"/>
        <v>0</v>
      </c>
      <c r="BF76" s="1">
        <f t="shared" si="43"/>
        <v>0</v>
      </c>
      <c r="BG76" s="1">
        <f t="shared" si="44"/>
        <v>0</v>
      </c>
    </row>
    <row r="77" spans="2:59">
      <c r="C77" s="128"/>
      <c r="D77" s="128"/>
      <c r="E77" s="124"/>
      <c r="F77" s="125"/>
      <c r="G77" s="125"/>
      <c r="H77" s="126"/>
      <c r="I77" s="128"/>
      <c r="J77" s="128"/>
      <c r="K77" s="128"/>
      <c r="L77" s="128"/>
      <c r="M77" s="130"/>
      <c r="N77" s="134"/>
      <c r="O77" s="135">
        <f t="shared" si="36"/>
        <v>0</v>
      </c>
      <c r="P77" s="214"/>
      <c r="Q77" s="214"/>
      <c r="R77" s="135">
        <f t="shared" si="45"/>
        <v>0</v>
      </c>
      <c r="S77" s="128"/>
      <c r="T77" s="127">
        <f t="shared" si="46"/>
        <v>0</v>
      </c>
      <c r="U77" s="136">
        <f t="shared" si="39"/>
        <v>0</v>
      </c>
      <c r="BB77" s="1">
        <f t="shared" si="40"/>
        <v>0</v>
      </c>
      <c r="BC77" s="1">
        <f t="shared" si="41"/>
        <v>0</v>
      </c>
      <c r="BD77" s="1">
        <f t="shared" si="42"/>
        <v>0</v>
      </c>
      <c r="BF77" s="1">
        <f t="shared" si="43"/>
        <v>0</v>
      </c>
      <c r="BG77" s="1">
        <f t="shared" si="44"/>
        <v>0</v>
      </c>
    </row>
    <row r="78" spans="2:59">
      <c r="C78" s="128"/>
      <c r="D78" s="128"/>
      <c r="E78" s="124"/>
      <c r="F78" s="125"/>
      <c r="G78" s="125"/>
      <c r="H78" s="126"/>
      <c r="I78" s="128"/>
      <c r="J78" s="128"/>
      <c r="K78" s="128"/>
      <c r="L78" s="128"/>
      <c r="M78" s="130"/>
      <c r="N78" s="134"/>
      <c r="O78" s="135">
        <f t="shared" si="36"/>
        <v>0</v>
      </c>
      <c r="P78" s="214"/>
      <c r="Q78" s="214"/>
      <c r="R78" s="135">
        <f t="shared" si="45"/>
        <v>0</v>
      </c>
      <c r="S78" s="128"/>
      <c r="T78" s="127">
        <f t="shared" si="46"/>
        <v>0</v>
      </c>
      <c r="U78" s="136">
        <f t="shared" si="39"/>
        <v>0</v>
      </c>
      <c r="BB78" s="1">
        <f t="shared" si="40"/>
        <v>0</v>
      </c>
      <c r="BC78" s="1">
        <f t="shared" si="41"/>
        <v>0</v>
      </c>
      <c r="BD78" s="1">
        <f t="shared" si="42"/>
        <v>0</v>
      </c>
      <c r="BF78" s="1">
        <f t="shared" si="43"/>
        <v>0</v>
      </c>
      <c r="BG78" s="1">
        <f t="shared" si="44"/>
        <v>0</v>
      </c>
    </row>
    <row r="79" spans="2:59">
      <c r="C79" s="128"/>
      <c r="D79" s="128"/>
      <c r="E79" s="589"/>
      <c r="F79" s="590"/>
      <c r="G79" s="590"/>
      <c r="H79" s="591"/>
      <c r="I79" s="128"/>
      <c r="J79" s="129"/>
      <c r="K79" s="128"/>
      <c r="L79" s="128"/>
      <c r="M79" s="130"/>
      <c r="N79" s="134"/>
      <c r="O79" s="135">
        <f t="shared" si="36"/>
        <v>0</v>
      </c>
      <c r="P79" s="214"/>
      <c r="Q79" s="214"/>
      <c r="R79" s="135">
        <f t="shared" si="45"/>
        <v>0</v>
      </c>
      <c r="S79" s="128"/>
      <c r="T79" s="127">
        <f t="shared" si="46"/>
        <v>0</v>
      </c>
      <c r="U79" s="136">
        <f t="shared" si="39"/>
        <v>0</v>
      </c>
      <c r="BB79" s="1">
        <f t="shared" si="40"/>
        <v>0</v>
      </c>
      <c r="BC79" s="1">
        <f t="shared" si="41"/>
        <v>0</v>
      </c>
      <c r="BD79" s="1">
        <f t="shared" si="42"/>
        <v>0</v>
      </c>
      <c r="BF79" s="1">
        <f t="shared" si="43"/>
        <v>0</v>
      </c>
      <c r="BG79" s="1">
        <f t="shared" si="44"/>
        <v>0</v>
      </c>
    </row>
    <row r="80" spans="2:59">
      <c r="C80" s="128"/>
      <c r="D80" s="128"/>
      <c r="E80" s="589"/>
      <c r="F80" s="590"/>
      <c r="G80" s="590"/>
      <c r="H80" s="591"/>
      <c r="I80" s="128"/>
      <c r="J80" s="129"/>
      <c r="K80" s="128"/>
      <c r="L80" s="128"/>
      <c r="M80" s="130"/>
      <c r="N80" s="134"/>
      <c r="O80" s="135">
        <f t="shared" si="36"/>
        <v>0</v>
      </c>
      <c r="P80" s="214"/>
      <c r="Q80" s="214"/>
      <c r="R80" s="135">
        <f t="shared" si="45"/>
        <v>0</v>
      </c>
      <c r="S80" s="128"/>
      <c r="T80" s="127">
        <f t="shared" si="46"/>
        <v>0</v>
      </c>
      <c r="U80" s="136">
        <f t="shared" si="39"/>
        <v>0</v>
      </c>
      <c r="BB80" s="1">
        <f t="shared" si="40"/>
        <v>0</v>
      </c>
      <c r="BC80" s="1">
        <f t="shared" si="41"/>
        <v>0</v>
      </c>
      <c r="BD80" s="1">
        <f t="shared" si="42"/>
        <v>0</v>
      </c>
      <c r="BF80" s="1">
        <f t="shared" si="43"/>
        <v>0</v>
      </c>
      <c r="BG80" s="1">
        <f t="shared" si="44"/>
        <v>0</v>
      </c>
    </row>
    <row r="81" spans="1:68">
      <c r="C81" s="595" t="s">
        <v>613</v>
      </c>
      <c r="D81" s="596"/>
      <c r="E81" s="596"/>
      <c r="F81" s="596"/>
      <c r="G81" s="596"/>
      <c r="H81" s="596"/>
      <c r="I81" s="596"/>
      <c r="J81" s="596"/>
      <c r="K81" s="596"/>
      <c r="L81" s="596"/>
      <c r="M81" s="596"/>
      <c r="N81" s="596"/>
      <c r="O81" s="596"/>
      <c r="P81" s="596"/>
      <c r="Q81" s="596"/>
      <c r="R81" s="596"/>
      <c r="S81" s="596"/>
      <c r="T81" s="597"/>
      <c r="U81" s="136">
        <f>SUM(U69:U80)</f>
        <v>0</v>
      </c>
    </row>
    <row r="82" spans="1:68" s="18" customForma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9"/>
    </row>
    <row r="83" spans="1:68">
      <c r="B83" s="4" t="s">
        <v>614</v>
      </c>
    </row>
    <row r="84" spans="1:68" s="18" customFormat="1" ht="17.25" customHeight="1">
      <c r="C84" s="610" t="s">
        <v>374</v>
      </c>
      <c r="D84" s="613" t="s">
        <v>615</v>
      </c>
      <c r="E84" s="614"/>
      <c r="F84" s="614"/>
      <c r="G84" s="614"/>
      <c r="H84" s="614"/>
      <c r="I84" s="614"/>
      <c r="J84" s="614"/>
      <c r="K84" s="614"/>
      <c r="L84" s="614"/>
      <c r="M84" s="614"/>
      <c r="N84" s="615"/>
      <c r="O84" s="628" t="s">
        <v>567</v>
      </c>
      <c r="P84" s="629"/>
      <c r="Q84" s="630"/>
      <c r="R84" s="598" t="s">
        <v>590</v>
      </c>
      <c r="S84" s="599"/>
      <c r="T84" s="604" t="s">
        <v>590</v>
      </c>
      <c r="BE84" s="106" t="s">
        <v>120</v>
      </c>
      <c r="BF84" s="1"/>
      <c r="BG84" s="1"/>
      <c r="BH84" s="1"/>
      <c r="BI84" s="1"/>
      <c r="BJ84" s="1"/>
      <c r="BK84" s="1"/>
      <c r="BL84" s="1"/>
      <c r="BM84" s="1" t="s">
        <v>321</v>
      </c>
      <c r="BO84" s="1"/>
      <c r="BP84" s="1"/>
    </row>
    <row r="85" spans="1:68" s="18" customFormat="1" ht="17.25" customHeight="1">
      <c r="C85" s="611"/>
      <c r="D85" s="616" t="s">
        <v>561</v>
      </c>
      <c r="E85" s="619" t="s">
        <v>562</v>
      </c>
      <c r="F85" s="620"/>
      <c r="G85" s="620"/>
      <c r="H85" s="620"/>
      <c r="I85" s="620"/>
      <c r="J85" s="620"/>
      <c r="K85" s="621"/>
      <c r="L85" s="616" t="s">
        <v>563</v>
      </c>
      <c r="M85" s="616" t="s">
        <v>564</v>
      </c>
      <c r="N85" s="616" t="s">
        <v>565</v>
      </c>
      <c r="O85" s="631" t="s">
        <v>587</v>
      </c>
      <c r="P85" s="632"/>
      <c r="Q85" s="637" t="s">
        <v>376</v>
      </c>
      <c r="R85" s="600"/>
      <c r="S85" s="601"/>
      <c r="T85" s="605"/>
      <c r="BE85" s="36"/>
      <c r="BF85" s="1"/>
      <c r="BG85" s="1"/>
      <c r="BH85" s="1"/>
      <c r="BI85" s="1"/>
      <c r="BJ85" s="1"/>
      <c r="BK85" s="1"/>
      <c r="BL85" s="1"/>
      <c r="BM85" s="1"/>
      <c r="BO85" s="1"/>
      <c r="BP85" s="1"/>
    </row>
    <row r="86" spans="1:68" s="18" customFormat="1" ht="17.25" customHeight="1">
      <c r="C86" s="611"/>
      <c r="D86" s="617"/>
      <c r="E86" s="622"/>
      <c r="F86" s="623"/>
      <c r="G86" s="623"/>
      <c r="H86" s="623"/>
      <c r="I86" s="623"/>
      <c r="J86" s="623"/>
      <c r="K86" s="624"/>
      <c r="L86" s="617"/>
      <c r="M86" s="617"/>
      <c r="N86" s="617"/>
      <c r="O86" s="633"/>
      <c r="P86" s="634"/>
      <c r="Q86" s="638"/>
      <c r="R86" s="600"/>
      <c r="S86" s="601"/>
      <c r="T86" s="605"/>
      <c r="BE86" s="5" t="str">
        <f>+LEFT(G86,1)</f>
        <v/>
      </c>
      <c r="BF86" s="1"/>
      <c r="BG86" s="1"/>
      <c r="BH86" s="1"/>
      <c r="BI86" s="1"/>
      <c r="BJ86" s="1"/>
      <c r="BK86" s="1"/>
      <c r="BL86" s="1"/>
      <c r="BM86" s="1"/>
      <c r="BO86" s="1"/>
      <c r="BP86" s="1"/>
    </row>
    <row r="87" spans="1:68" s="18" customFormat="1" ht="17.25" customHeight="1">
      <c r="C87" s="611"/>
      <c r="D87" s="617"/>
      <c r="E87" s="622"/>
      <c r="F87" s="623"/>
      <c r="G87" s="623"/>
      <c r="H87" s="623"/>
      <c r="I87" s="623"/>
      <c r="J87" s="623"/>
      <c r="K87" s="624"/>
      <c r="L87" s="617"/>
      <c r="M87" s="617"/>
      <c r="N87" s="617"/>
      <c r="O87" s="635"/>
      <c r="P87" s="636"/>
      <c r="Q87" s="638"/>
      <c r="R87" s="602"/>
      <c r="S87" s="603"/>
      <c r="T87" s="605"/>
      <c r="BE87" s="5" t="str">
        <f>+LEFT(G87,1)</f>
        <v/>
      </c>
      <c r="BF87" s="1"/>
      <c r="BG87" s="1"/>
      <c r="BH87" s="1"/>
      <c r="BI87" s="1"/>
      <c r="BJ87" s="1"/>
      <c r="BK87" s="1"/>
      <c r="BL87" s="107" t="str">
        <f>+LEFT(BE94,1)</f>
        <v>1</v>
      </c>
      <c r="BM87" s="107">
        <v>0.03</v>
      </c>
      <c r="BO87" s="1"/>
      <c r="BP87" s="1"/>
    </row>
    <row r="88" spans="1:68" s="18" customFormat="1" ht="17.25" customHeight="1">
      <c r="C88" s="612"/>
      <c r="D88" s="618"/>
      <c r="E88" s="625"/>
      <c r="F88" s="626"/>
      <c r="G88" s="626"/>
      <c r="H88" s="626"/>
      <c r="I88" s="626"/>
      <c r="J88" s="626"/>
      <c r="K88" s="627"/>
      <c r="L88" s="618"/>
      <c r="M88" s="46" t="s">
        <v>726</v>
      </c>
      <c r="N88" s="229" t="s">
        <v>38</v>
      </c>
      <c r="O88" s="230" t="s">
        <v>366</v>
      </c>
      <c r="P88" s="228" t="s">
        <v>579</v>
      </c>
      <c r="Q88" s="639"/>
      <c r="R88" s="225" t="s">
        <v>366</v>
      </c>
      <c r="S88" s="231" t="s">
        <v>579</v>
      </c>
      <c r="T88" s="606"/>
      <c r="W88" s="19"/>
      <c r="BE88" s="5" t="str">
        <f>+LEFT(G88,1)</f>
        <v/>
      </c>
      <c r="BF88" s="1"/>
      <c r="BG88" s="1"/>
      <c r="BH88" s="1"/>
      <c r="BI88" s="1"/>
      <c r="BJ88" s="1"/>
      <c r="BK88" s="1"/>
      <c r="BL88" s="107" t="str">
        <f t="shared" ref="BL88:BL90" si="47">+LEFT(BE95,1)</f>
        <v>2</v>
      </c>
      <c r="BM88" s="107">
        <v>0.05</v>
      </c>
      <c r="BO88" s="1"/>
      <c r="BP88" s="1"/>
    </row>
    <row r="89" spans="1:68" s="18" customFormat="1" ht="15" customHeight="1">
      <c r="C89" s="28">
        <v>1</v>
      </c>
      <c r="D89" s="28"/>
      <c r="E89" s="592"/>
      <c r="F89" s="593"/>
      <c r="G89" s="593"/>
      <c r="H89" s="593"/>
      <c r="I89" s="593"/>
      <c r="J89" s="593"/>
      <c r="K89" s="594"/>
      <c r="L89" s="29"/>
      <c r="M89" s="47"/>
      <c r="N89" s="9"/>
      <c r="O89" s="30"/>
      <c r="P89" s="224"/>
      <c r="Q89" s="29"/>
      <c r="R89" s="138">
        <f>+IF(Q89="",0,IF(Q89&lt;=15,(O89/15*2.5),((O89/15*2.5)+((Q89-15)*VLOOKUP(BE89,$BL$87:$BM$90,2,FALSE)))))</f>
        <v>0</v>
      </c>
      <c r="S89" s="226">
        <f>+IF(P89="",0,P89/15*1.5)</f>
        <v>0</v>
      </c>
      <c r="T89" s="138">
        <f>+R89+S89</f>
        <v>0</v>
      </c>
      <c r="W89" s="19"/>
      <c r="BE89" s="5" t="str">
        <f>+LEFT(M89,1)</f>
        <v/>
      </c>
      <c r="BF89" s="1"/>
      <c r="BG89" s="1"/>
      <c r="BH89" s="1"/>
      <c r="BI89" s="1"/>
      <c r="BJ89" s="1"/>
      <c r="BK89" s="1"/>
      <c r="BL89" s="107" t="str">
        <f t="shared" si="47"/>
        <v>3</v>
      </c>
      <c r="BM89" s="107">
        <v>0.08</v>
      </c>
      <c r="BO89" s="1"/>
      <c r="BP89" s="1"/>
    </row>
    <row r="90" spans="1:68" s="18" customFormat="1">
      <c r="C90" s="28">
        <v>2</v>
      </c>
      <c r="D90" s="28"/>
      <c r="E90" s="592"/>
      <c r="F90" s="593"/>
      <c r="G90" s="593"/>
      <c r="H90" s="593"/>
      <c r="I90" s="593"/>
      <c r="J90" s="593"/>
      <c r="K90" s="594"/>
      <c r="L90" s="29"/>
      <c r="M90" s="47"/>
      <c r="N90" s="9"/>
      <c r="O90" s="30"/>
      <c r="P90" s="224"/>
      <c r="Q90" s="29"/>
      <c r="R90" s="138">
        <f t="shared" ref="R90:R93" si="48">+IF(Q90="",0,IF(Q90&lt;=15,(O90/15*2.5),((O90/15*2.5)+((Q90-15)*VLOOKUP(BE90,$BL$87:$BM$90,2,FALSE)))))</f>
        <v>0</v>
      </c>
      <c r="S90" s="226">
        <f t="shared" ref="S90:S93" si="49">+IF(P90="",0,P90/15*1.5)</f>
        <v>0</v>
      </c>
      <c r="T90" s="138">
        <f t="shared" ref="T90:T93" si="50">+R90+S90</f>
        <v>0</v>
      </c>
      <c r="BE90" s="5" t="str">
        <f>+LEFT(M90,1)</f>
        <v/>
      </c>
      <c r="BF90" s="1"/>
      <c r="BG90" s="1"/>
      <c r="BH90" s="1"/>
      <c r="BI90" s="1"/>
      <c r="BJ90" s="1"/>
      <c r="BK90" s="1"/>
      <c r="BL90" s="107" t="str">
        <f t="shared" si="47"/>
        <v>4</v>
      </c>
      <c r="BM90" s="107">
        <v>0.11</v>
      </c>
      <c r="BO90" s="1"/>
      <c r="BP90" s="1"/>
    </row>
    <row r="91" spans="1:68" s="18" customFormat="1">
      <c r="C91" s="28">
        <v>3</v>
      </c>
      <c r="D91" s="28"/>
      <c r="E91" s="592"/>
      <c r="F91" s="593"/>
      <c r="G91" s="593"/>
      <c r="H91" s="593"/>
      <c r="I91" s="593"/>
      <c r="J91" s="593"/>
      <c r="K91" s="594"/>
      <c r="L91" s="29"/>
      <c r="M91" s="47"/>
      <c r="N91" s="9"/>
      <c r="O91" s="30"/>
      <c r="P91" s="224"/>
      <c r="Q91" s="29"/>
      <c r="R91" s="138">
        <f t="shared" si="48"/>
        <v>0</v>
      </c>
      <c r="S91" s="226">
        <f t="shared" si="49"/>
        <v>0</v>
      </c>
      <c r="T91" s="138">
        <f t="shared" si="50"/>
        <v>0</v>
      </c>
      <c r="BE91" s="5" t="str">
        <f t="shared" ref="BE91:BE92" si="51">+LEFT(M91,1)</f>
        <v/>
      </c>
      <c r="BF91" s="1"/>
      <c r="BG91" s="1"/>
      <c r="BH91" s="1"/>
      <c r="BI91" s="1"/>
      <c r="BJ91" s="1"/>
      <c r="BK91" s="1"/>
      <c r="BL91" s="108"/>
      <c r="BM91" s="108"/>
      <c r="BO91" s="1"/>
      <c r="BP91" s="1"/>
    </row>
    <row r="92" spans="1:68" s="18" customFormat="1">
      <c r="C92" s="28">
        <v>4</v>
      </c>
      <c r="D92" s="28"/>
      <c r="E92" s="592"/>
      <c r="F92" s="593"/>
      <c r="G92" s="593"/>
      <c r="H92" s="593"/>
      <c r="I92" s="593"/>
      <c r="J92" s="593"/>
      <c r="K92" s="594"/>
      <c r="L92" s="29"/>
      <c r="M92" s="47"/>
      <c r="N92" s="9"/>
      <c r="O92" s="30"/>
      <c r="P92" s="224"/>
      <c r="Q92" s="29"/>
      <c r="R92" s="138">
        <f t="shared" si="48"/>
        <v>0</v>
      </c>
      <c r="S92" s="226">
        <f t="shared" si="49"/>
        <v>0</v>
      </c>
      <c r="T92" s="138">
        <f t="shared" si="50"/>
        <v>0</v>
      </c>
      <c r="BE92" s="5" t="str">
        <f t="shared" si="51"/>
        <v/>
      </c>
      <c r="BF92" s="1"/>
      <c r="BG92" s="1"/>
      <c r="BH92" s="1"/>
      <c r="BI92" s="1"/>
      <c r="BJ92" s="1"/>
      <c r="BK92" s="1"/>
      <c r="BL92" s="108"/>
      <c r="BM92" s="108"/>
      <c r="BO92" s="1"/>
      <c r="BP92" s="1"/>
    </row>
    <row r="93" spans="1:68" s="18" customFormat="1">
      <c r="C93" s="20">
        <v>5</v>
      </c>
      <c r="D93" s="25"/>
      <c r="E93" s="23"/>
      <c r="F93" s="24"/>
      <c r="G93" s="24"/>
      <c r="H93" s="45"/>
      <c r="I93" s="45"/>
      <c r="J93" s="45"/>
      <c r="K93" s="45"/>
      <c r="L93" s="26"/>
      <c r="M93" s="26"/>
      <c r="N93" s="9"/>
      <c r="O93" s="27"/>
      <c r="P93" s="227"/>
      <c r="Q93" s="26"/>
      <c r="R93" s="138">
        <f t="shared" si="48"/>
        <v>0</v>
      </c>
      <c r="S93" s="226">
        <f t="shared" si="49"/>
        <v>0</v>
      </c>
      <c r="T93" s="138">
        <f t="shared" si="50"/>
        <v>0</v>
      </c>
      <c r="BE93" s="1"/>
      <c r="BF93" s="1"/>
      <c r="BG93" s="1"/>
      <c r="BH93" s="1"/>
      <c r="BI93" s="1"/>
      <c r="BJ93" s="1"/>
      <c r="BK93" s="1"/>
      <c r="BL93" s="108"/>
      <c r="BM93" s="108"/>
      <c r="BO93" s="1"/>
      <c r="BP93" s="1"/>
    </row>
    <row r="94" spans="1:68" s="18" customFormat="1" ht="14.25" customHeight="1">
      <c r="C94" s="640" t="s">
        <v>727</v>
      </c>
      <c r="D94" s="641"/>
      <c r="E94" s="641"/>
      <c r="F94" s="641"/>
      <c r="G94" s="641"/>
      <c r="H94" s="641"/>
      <c r="I94" s="641"/>
      <c r="J94" s="641"/>
      <c r="K94" s="641"/>
      <c r="L94" s="641"/>
      <c r="M94" s="641"/>
      <c r="N94" s="641"/>
      <c r="O94" s="641"/>
      <c r="P94" s="641"/>
      <c r="Q94" s="641"/>
      <c r="R94" s="641"/>
      <c r="S94" s="642"/>
      <c r="T94" s="139">
        <f>SUM(T89:T93)</f>
        <v>0</v>
      </c>
      <c r="BE94" s="1" t="s">
        <v>324</v>
      </c>
      <c r="BF94" s="1"/>
      <c r="BG94" s="1"/>
      <c r="BH94" s="1"/>
      <c r="BI94" s="1"/>
      <c r="BJ94" s="1"/>
      <c r="BK94" s="1"/>
      <c r="BL94" s="108"/>
      <c r="BM94" s="108"/>
      <c r="BO94" s="1"/>
      <c r="BP94" s="1"/>
    </row>
    <row r="95" spans="1:68" s="18" customFormat="1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9"/>
      <c r="BC95" s="1"/>
      <c r="BD95" s="1"/>
      <c r="BE95" s="1" t="s">
        <v>325</v>
      </c>
      <c r="BF95" s="1"/>
      <c r="BG95" s="1"/>
      <c r="BH95" s="1"/>
      <c r="BI95" s="1"/>
      <c r="BJ95" s="1"/>
    </row>
    <row r="96" spans="1:68">
      <c r="A96" s="1" t="s">
        <v>617</v>
      </c>
      <c r="BE96" s="1" t="s">
        <v>320</v>
      </c>
    </row>
    <row r="97" spans="2:57">
      <c r="B97" s="1" t="s">
        <v>807</v>
      </c>
      <c r="BE97" s="1" t="s">
        <v>326</v>
      </c>
    </row>
    <row r="98" spans="2:57" ht="16.5" customHeight="1">
      <c r="C98" s="525" t="s">
        <v>374</v>
      </c>
      <c r="D98" s="550" t="s">
        <v>618</v>
      </c>
      <c r="E98" s="551"/>
      <c r="F98" s="551"/>
      <c r="G98" s="552"/>
      <c r="H98" s="523" t="s">
        <v>619</v>
      </c>
      <c r="I98" s="560" t="s">
        <v>620</v>
      </c>
      <c r="J98" s="607" t="s">
        <v>621</v>
      </c>
      <c r="K98" s="608"/>
      <c r="L98" s="608"/>
      <c r="M98" s="608"/>
      <c r="N98" s="608"/>
      <c r="O98" s="608"/>
      <c r="P98" s="608"/>
      <c r="Q98" s="609"/>
      <c r="R98" s="550" t="s">
        <v>808</v>
      </c>
      <c r="S98" s="551"/>
      <c r="T98" s="551"/>
      <c r="U98" s="551"/>
      <c r="V98" s="552"/>
      <c r="W98" s="560" t="s">
        <v>622</v>
      </c>
      <c r="X98" s="588" t="s">
        <v>623</v>
      </c>
    </row>
    <row r="99" spans="2:57" ht="16.5" customHeight="1">
      <c r="C99" s="526"/>
      <c r="D99" s="557"/>
      <c r="E99" s="558"/>
      <c r="F99" s="558"/>
      <c r="G99" s="559"/>
      <c r="H99" s="523"/>
      <c r="I99" s="560"/>
      <c r="J99" s="553" t="s">
        <v>624</v>
      </c>
      <c r="K99" s="554"/>
      <c r="L99" s="554"/>
      <c r="M99" s="554"/>
      <c r="N99" s="554"/>
      <c r="O99" s="554"/>
      <c r="P99" s="554"/>
      <c r="Q99" s="555"/>
      <c r="R99" s="553"/>
      <c r="S99" s="554"/>
      <c r="T99" s="554"/>
      <c r="U99" s="554"/>
      <c r="V99" s="555"/>
      <c r="W99" s="560"/>
      <c r="X99" s="588"/>
    </row>
    <row r="100" spans="2:57" ht="29.25" customHeight="1">
      <c r="C100" s="526"/>
      <c r="D100" s="557"/>
      <c r="E100" s="558"/>
      <c r="F100" s="558"/>
      <c r="G100" s="559"/>
      <c r="H100" s="523"/>
      <c r="I100" s="560"/>
      <c r="J100" s="545" t="s">
        <v>625</v>
      </c>
      <c r="K100" s="545" t="s">
        <v>126</v>
      </c>
      <c r="L100" s="545" t="s">
        <v>125</v>
      </c>
      <c r="M100" s="545" t="s">
        <v>124</v>
      </c>
      <c r="N100" s="545" t="s">
        <v>123</v>
      </c>
      <c r="O100" s="545" t="s">
        <v>122</v>
      </c>
      <c r="P100" s="545" t="s">
        <v>121</v>
      </c>
      <c r="Q100" s="545" t="s">
        <v>626</v>
      </c>
      <c r="R100" s="553" t="s">
        <v>627</v>
      </c>
      <c r="S100" s="554"/>
      <c r="T100" s="554"/>
      <c r="U100" s="554"/>
      <c r="V100" s="555"/>
      <c r="W100" s="560"/>
      <c r="X100" s="588"/>
    </row>
    <row r="101" spans="2:57" ht="29.25" customHeight="1">
      <c r="C101" s="556"/>
      <c r="D101" s="553"/>
      <c r="E101" s="554"/>
      <c r="F101" s="554"/>
      <c r="G101" s="555"/>
      <c r="H101" s="523"/>
      <c r="I101" s="560"/>
      <c r="J101" s="546"/>
      <c r="K101" s="546"/>
      <c r="L101" s="546"/>
      <c r="M101" s="546"/>
      <c r="N101" s="546"/>
      <c r="O101" s="546"/>
      <c r="P101" s="546"/>
      <c r="Q101" s="546"/>
      <c r="R101" s="11" t="s">
        <v>8</v>
      </c>
      <c r="S101" s="11" t="s">
        <v>7</v>
      </c>
      <c r="T101" s="11" t="s">
        <v>6</v>
      </c>
      <c r="U101" s="11" t="s">
        <v>5</v>
      </c>
      <c r="V101" s="11" t="s">
        <v>4</v>
      </c>
      <c r="W101" s="560"/>
      <c r="X101" s="588"/>
    </row>
    <row r="102" spans="2:57">
      <c r="C102" s="5">
        <v>1</v>
      </c>
      <c r="D102" s="540"/>
      <c r="E102" s="541"/>
      <c r="F102" s="541"/>
      <c r="G102" s="542"/>
      <c r="H102" s="5"/>
      <c r="I102" s="5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56">
        <f t="shared" ref="X102:X107" si="52">IF(J102&lt;&gt;"",12,IF(K102&lt;&gt;"",10,IF(L102&lt;&gt;"",8,IF(M102&lt;&gt;"",7,IF(N102&lt;&gt;"",5,IF(O102&lt;&gt;"",3,IF(P102&lt;&gt;"",2,IF(Q102&lt;&gt;"",1,IF(R102&lt;&gt;"",7,IF(S102&lt;&gt;"",5,IF(T102&lt;&gt;"",3,IF(U102&lt;&gt;"",2,IF(V102&lt;&gt;"",1,IF(W102&lt;&gt;"",3,0))))))))))))))</f>
        <v>0</v>
      </c>
    </row>
    <row r="103" spans="2:57">
      <c r="C103" s="5">
        <v>2</v>
      </c>
      <c r="D103" s="540"/>
      <c r="E103" s="541"/>
      <c r="F103" s="541"/>
      <c r="G103" s="542"/>
      <c r="H103" s="5"/>
      <c r="I103" s="5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56">
        <f t="shared" si="52"/>
        <v>0</v>
      </c>
    </row>
    <row r="104" spans="2:57">
      <c r="C104" s="5">
        <v>3</v>
      </c>
      <c r="D104" s="540"/>
      <c r="E104" s="541"/>
      <c r="F104" s="541"/>
      <c r="G104" s="542"/>
      <c r="H104" s="5"/>
      <c r="I104" s="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56">
        <f t="shared" si="52"/>
        <v>0</v>
      </c>
    </row>
    <row r="105" spans="2:57">
      <c r="C105" s="5">
        <v>4</v>
      </c>
      <c r="D105" s="540"/>
      <c r="E105" s="541"/>
      <c r="F105" s="541"/>
      <c r="G105" s="542"/>
      <c r="H105" s="5"/>
      <c r="I105" s="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56">
        <f t="shared" si="52"/>
        <v>0</v>
      </c>
    </row>
    <row r="106" spans="2:57">
      <c r="C106" s="5">
        <v>5</v>
      </c>
      <c r="D106" s="540"/>
      <c r="E106" s="541"/>
      <c r="F106" s="541"/>
      <c r="G106" s="542"/>
      <c r="H106" s="5"/>
      <c r="I106" s="5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56">
        <f t="shared" si="52"/>
        <v>0</v>
      </c>
    </row>
    <row r="107" spans="2:57" ht="14.25">
      <c r="C107" s="5">
        <v>6</v>
      </c>
      <c r="D107" s="540"/>
      <c r="E107" s="541"/>
      <c r="F107" s="541"/>
      <c r="G107" s="542"/>
      <c r="H107" s="5"/>
      <c r="I107" s="5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56">
        <f t="shared" si="52"/>
        <v>0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</row>
    <row r="108" spans="2:57" ht="14.25">
      <c r="C108" s="506" t="s">
        <v>628</v>
      </c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  <c r="R108" s="507"/>
      <c r="S108" s="507"/>
      <c r="T108" s="507"/>
      <c r="U108" s="507"/>
      <c r="V108" s="507"/>
      <c r="W108" s="508"/>
      <c r="X108" s="150">
        <f>SUM(X102:X107)</f>
        <v>0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</row>
    <row r="109" spans="2:57" ht="14.25"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</row>
    <row r="110" spans="2:57">
      <c r="B110" s="1" t="s">
        <v>629</v>
      </c>
    </row>
    <row r="111" spans="2:57" ht="27.75" customHeight="1">
      <c r="C111" s="525" t="s">
        <v>374</v>
      </c>
      <c r="D111" s="550" t="s">
        <v>630</v>
      </c>
      <c r="E111" s="551"/>
      <c r="F111" s="551"/>
      <c r="G111" s="551"/>
      <c r="H111" s="551"/>
      <c r="I111" s="551"/>
      <c r="J111" s="551"/>
      <c r="K111" s="550" t="s">
        <v>653</v>
      </c>
      <c r="L111" s="552"/>
      <c r="M111" s="582" t="s">
        <v>654</v>
      </c>
      <c r="N111" s="583"/>
      <c r="O111" s="583"/>
      <c r="P111" s="583"/>
      <c r="Q111" s="583"/>
      <c r="R111" s="583"/>
      <c r="S111" s="583"/>
      <c r="T111" s="583"/>
      <c r="U111" s="583"/>
      <c r="V111" s="583"/>
      <c r="W111" s="584"/>
      <c r="X111" s="576" t="s">
        <v>623</v>
      </c>
    </row>
    <row r="112" spans="2:57" ht="80.45" customHeight="1">
      <c r="C112" s="526"/>
      <c r="D112" s="553"/>
      <c r="E112" s="554"/>
      <c r="F112" s="554"/>
      <c r="G112" s="554"/>
      <c r="H112" s="554"/>
      <c r="I112" s="554"/>
      <c r="J112" s="554"/>
      <c r="K112" s="553"/>
      <c r="L112" s="555"/>
      <c r="M112" s="585" t="s">
        <v>631</v>
      </c>
      <c r="N112" s="586"/>
      <c r="O112" s="151" t="s">
        <v>623</v>
      </c>
      <c r="P112" s="577" t="s">
        <v>632</v>
      </c>
      <c r="Q112" s="587"/>
      <c r="R112" s="145" t="s">
        <v>623</v>
      </c>
      <c r="S112" s="577" t="s">
        <v>633</v>
      </c>
      <c r="T112" s="578"/>
      <c r="U112" s="144" t="s">
        <v>623</v>
      </c>
      <c r="V112" s="215" t="s">
        <v>634</v>
      </c>
      <c r="W112" s="144" t="s">
        <v>623</v>
      </c>
      <c r="X112" s="576"/>
      <c r="BB112" s="1" t="s">
        <v>333</v>
      </c>
      <c r="BC112" s="1" t="s">
        <v>334</v>
      </c>
    </row>
    <row r="113" spans="1:64" ht="12.75" customHeight="1">
      <c r="C113" s="5">
        <v>1</v>
      </c>
      <c r="D113" s="571"/>
      <c r="E113" s="581"/>
      <c r="F113" s="581"/>
      <c r="G113" s="581"/>
      <c r="H113" s="581"/>
      <c r="I113" s="581"/>
      <c r="J113" s="581"/>
      <c r="K113" s="579"/>
      <c r="L113" s="580"/>
      <c r="M113" s="567"/>
      <c r="N113" s="568"/>
      <c r="O113" s="105"/>
      <c r="P113" s="569"/>
      <c r="Q113" s="570"/>
      <c r="R113" s="146">
        <f t="shared" ref="R113:R118" si="53">+IF(P113&lt;&gt;"",2,0)</f>
        <v>0</v>
      </c>
      <c r="S113" s="148"/>
      <c r="T113" s="147"/>
      <c r="U113" s="279">
        <f t="shared" ref="U113:U118" si="54">SUM(BB113:BC113)</f>
        <v>0</v>
      </c>
      <c r="V113" s="148"/>
      <c r="W113" s="111">
        <f>IF(V113="",0,IF(V113="จดอนุสิทธิบัตร",3,IF(V113="จดสิทธิบัตร",5,IF(V113="รางวัลระดับชาติ",3,5))))</f>
        <v>0</v>
      </c>
      <c r="X113" s="149">
        <f>+O113+R113+U113+W113</f>
        <v>0</v>
      </c>
      <c r="BB113" s="1">
        <f>IF(S113="",0,IF(T113="Other",0,IF(S113="National",3,5)))</f>
        <v>0</v>
      </c>
      <c r="BC113" s="1">
        <f>IF(T113="",0,IF(T113="First Author/Corresponding",0,IF(S113="ชาติ",2,4)))</f>
        <v>0</v>
      </c>
      <c r="BH113" s="1" t="s">
        <v>129</v>
      </c>
      <c r="BI113" s="1" t="s">
        <v>635</v>
      </c>
      <c r="BL113" s="1" t="s">
        <v>643</v>
      </c>
    </row>
    <row r="114" spans="1:64" ht="14.25">
      <c r="C114" s="5">
        <v>2</v>
      </c>
      <c r="D114" s="571"/>
      <c r="E114" s="572"/>
      <c r="F114" s="572"/>
      <c r="G114" s="572"/>
      <c r="H114" s="572"/>
      <c r="I114" s="572"/>
      <c r="J114" s="572"/>
      <c r="K114" s="540"/>
      <c r="L114" s="542"/>
      <c r="M114" s="567"/>
      <c r="N114" s="568"/>
      <c r="O114" s="105"/>
      <c r="P114" s="569"/>
      <c r="Q114" s="570"/>
      <c r="R114" s="146">
        <f t="shared" si="53"/>
        <v>0</v>
      </c>
      <c r="S114" s="148"/>
      <c r="T114" s="147"/>
      <c r="U114" s="111">
        <f t="shared" si="54"/>
        <v>0</v>
      </c>
      <c r="V114" s="148"/>
      <c r="W114" s="111">
        <f t="shared" ref="W114:W118" si="55">IF(V114="",0,IF(V114="จดอนุสิทธิบัตร",3,IF(V114="จดสิทธิบัตร",5,IF(V114="รางวัลระดับชาติ",3,5))))</f>
        <v>0</v>
      </c>
      <c r="X114" s="149">
        <f t="shared" ref="X114:X118" si="56">+O114+R114+U114+W114</f>
        <v>0</v>
      </c>
      <c r="BB114" s="1">
        <f t="shared" ref="BB114:BB118" si="57">IF(S114="",0,IF(T114="Other",0,IF(S114="National",3,5)))</f>
        <v>0</v>
      </c>
      <c r="BC114" s="1">
        <f t="shared" ref="BC114:BC118" si="58">IF(T114="",0,IF(T114="First Author/Corresponding",0,IF(S114="ชาติ",2,4)))</f>
        <v>0</v>
      </c>
      <c r="BH114" s="1" t="s">
        <v>115</v>
      </c>
      <c r="BI114" s="1" t="s">
        <v>636</v>
      </c>
      <c r="BL114" s="1" t="s">
        <v>644</v>
      </c>
    </row>
    <row r="115" spans="1:64" ht="14.25">
      <c r="C115" s="5"/>
      <c r="D115" s="571"/>
      <c r="E115" s="572"/>
      <c r="F115" s="572"/>
      <c r="G115" s="572"/>
      <c r="H115" s="572"/>
      <c r="I115" s="572"/>
      <c r="J115" s="572"/>
      <c r="K115" s="540"/>
      <c r="L115" s="542"/>
      <c r="M115" s="567"/>
      <c r="N115" s="568"/>
      <c r="O115" s="105"/>
      <c r="P115" s="569"/>
      <c r="Q115" s="570"/>
      <c r="R115" s="146">
        <f t="shared" si="53"/>
        <v>0</v>
      </c>
      <c r="S115" s="148"/>
      <c r="T115" s="147"/>
      <c r="U115" s="111">
        <f t="shared" si="54"/>
        <v>0</v>
      </c>
      <c r="V115" s="148"/>
      <c r="W115" s="111">
        <f t="shared" si="55"/>
        <v>0</v>
      </c>
      <c r="X115" s="149">
        <f t="shared" si="56"/>
        <v>0</v>
      </c>
      <c r="BB115" s="1">
        <f t="shared" si="57"/>
        <v>0</v>
      </c>
      <c r="BC115" s="1">
        <f t="shared" si="58"/>
        <v>0</v>
      </c>
      <c r="BH115" s="1" t="s">
        <v>130</v>
      </c>
      <c r="BI115" s="1" t="s">
        <v>637</v>
      </c>
      <c r="BL115" s="1" t="s">
        <v>645</v>
      </c>
    </row>
    <row r="116" spans="1:64" ht="14.25">
      <c r="C116" s="5"/>
      <c r="D116" s="571"/>
      <c r="E116" s="572"/>
      <c r="F116" s="572"/>
      <c r="G116" s="572"/>
      <c r="H116" s="572"/>
      <c r="I116" s="572"/>
      <c r="J116" s="572"/>
      <c r="K116" s="540"/>
      <c r="L116" s="542"/>
      <c r="M116" s="567"/>
      <c r="N116" s="568"/>
      <c r="O116" s="105"/>
      <c r="P116" s="569"/>
      <c r="Q116" s="570"/>
      <c r="R116" s="146">
        <f t="shared" si="53"/>
        <v>0</v>
      </c>
      <c r="S116" s="148"/>
      <c r="T116" s="147"/>
      <c r="U116" s="279">
        <f t="shared" si="54"/>
        <v>0</v>
      </c>
      <c r="V116" s="148"/>
      <c r="W116" s="111">
        <f>IF(V116="",0,IF(V116="petty patented",3,IF(V116="patented",5,IF(V116="national reward",3,5))))</f>
        <v>0</v>
      </c>
      <c r="X116" s="149">
        <f t="shared" si="56"/>
        <v>0</v>
      </c>
      <c r="BB116" s="1">
        <f t="shared" si="57"/>
        <v>0</v>
      </c>
      <c r="BC116" s="1">
        <f t="shared" si="58"/>
        <v>0</v>
      </c>
      <c r="BH116" s="1" t="s">
        <v>131</v>
      </c>
      <c r="BI116" s="1" t="s">
        <v>131</v>
      </c>
      <c r="BL116" s="1" t="s">
        <v>646</v>
      </c>
    </row>
    <row r="117" spans="1:64" ht="14.25">
      <c r="C117" s="5"/>
      <c r="D117" s="571"/>
      <c r="E117" s="572"/>
      <c r="F117" s="572"/>
      <c r="G117" s="572"/>
      <c r="H117" s="572"/>
      <c r="I117" s="572"/>
      <c r="J117" s="572"/>
      <c r="K117" s="540"/>
      <c r="L117" s="542"/>
      <c r="M117" s="567"/>
      <c r="N117" s="568"/>
      <c r="O117" s="105"/>
      <c r="P117" s="569"/>
      <c r="Q117" s="570"/>
      <c r="R117" s="146">
        <f t="shared" si="53"/>
        <v>0</v>
      </c>
      <c r="S117" s="148"/>
      <c r="T117" s="147"/>
      <c r="U117" s="111">
        <f t="shared" si="54"/>
        <v>0</v>
      </c>
      <c r="V117" s="148"/>
      <c r="W117" s="111">
        <f t="shared" si="55"/>
        <v>0</v>
      </c>
      <c r="X117" s="149">
        <f t="shared" si="56"/>
        <v>0</v>
      </c>
      <c r="BB117" s="1">
        <f t="shared" si="57"/>
        <v>0</v>
      </c>
      <c r="BC117" s="1">
        <f t="shared" si="58"/>
        <v>0</v>
      </c>
      <c r="BH117" s="1" t="s">
        <v>132</v>
      </c>
      <c r="BI117" s="1" t="s">
        <v>638</v>
      </c>
      <c r="BL117" s="1" t="s">
        <v>647</v>
      </c>
    </row>
    <row r="118" spans="1:64" ht="14.25">
      <c r="C118" s="5"/>
      <c r="D118" s="571"/>
      <c r="E118" s="572"/>
      <c r="F118" s="572"/>
      <c r="G118" s="572"/>
      <c r="H118" s="572"/>
      <c r="I118" s="572"/>
      <c r="J118" s="572"/>
      <c r="K118" s="540"/>
      <c r="L118" s="542"/>
      <c r="M118" s="567"/>
      <c r="N118" s="568"/>
      <c r="O118" s="105"/>
      <c r="P118" s="569"/>
      <c r="Q118" s="570"/>
      <c r="R118" s="146">
        <f t="shared" si="53"/>
        <v>0</v>
      </c>
      <c r="S118" s="148"/>
      <c r="T118" s="147"/>
      <c r="U118" s="111">
        <f t="shared" si="54"/>
        <v>0</v>
      </c>
      <c r="V118" s="148"/>
      <c r="W118" s="111">
        <f t="shared" si="55"/>
        <v>0</v>
      </c>
      <c r="X118" s="149">
        <f t="shared" si="56"/>
        <v>0</v>
      </c>
      <c r="BB118" s="1">
        <f t="shared" si="57"/>
        <v>0</v>
      </c>
      <c r="BC118" s="1">
        <f t="shared" si="58"/>
        <v>0</v>
      </c>
      <c r="BH118" s="1" t="s">
        <v>133</v>
      </c>
      <c r="BI118" s="1" t="s">
        <v>639</v>
      </c>
      <c r="BL118" s="1" t="s">
        <v>648</v>
      </c>
    </row>
    <row r="119" spans="1:64">
      <c r="C119" s="715" t="s">
        <v>650</v>
      </c>
      <c r="D119" s="716"/>
      <c r="E119" s="716"/>
      <c r="F119" s="716"/>
      <c r="G119" s="716"/>
      <c r="H119" s="716"/>
      <c r="I119" s="716"/>
      <c r="J119" s="716"/>
      <c r="K119" s="716"/>
      <c r="L119" s="716"/>
      <c r="M119" s="716"/>
      <c r="N119" s="716"/>
      <c r="O119" s="716"/>
      <c r="P119" s="716"/>
      <c r="Q119" s="716"/>
      <c r="R119" s="716"/>
      <c r="S119" s="716"/>
      <c r="T119" s="716"/>
      <c r="U119" s="716"/>
      <c r="V119" s="716"/>
      <c r="W119" s="717"/>
      <c r="X119" s="150">
        <f>SUM(X113:X118)</f>
        <v>0</v>
      </c>
      <c r="BH119" s="1" t="s">
        <v>134</v>
      </c>
      <c r="BI119" s="1" t="s">
        <v>640</v>
      </c>
    </row>
    <row r="120" spans="1:64" s="18" customFormat="1">
      <c r="C120" s="141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39"/>
      <c r="BH120" s="18" t="s">
        <v>135</v>
      </c>
      <c r="BI120" s="18" t="s">
        <v>641</v>
      </c>
    </row>
    <row r="121" spans="1:64">
      <c r="BH121" s="1" t="s">
        <v>153</v>
      </c>
      <c r="BI121" s="1" t="s">
        <v>642</v>
      </c>
    </row>
    <row r="122" spans="1:64">
      <c r="A122" s="1" t="s">
        <v>651</v>
      </c>
    </row>
    <row r="124" spans="1:64">
      <c r="B124" s="1" t="s">
        <v>652</v>
      </c>
    </row>
    <row r="125" spans="1:64" ht="39" customHeight="1">
      <c r="C125" s="525" t="s">
        <v>374</v>
      </c>
      <c r="D125" s="550" t="s">
        <v>655</v>
      </c>
      <c r="E125" s="551"/>
      <c r="F125" s="551"/>
      <c r="G125" s="551"/>
      <c r="H125" s="551"/>
      <c r="I125" s="552"/>
      <c r="J125" s="575" t="s">
        <v>656</v>
      </c>
      <c r="K125" s="720" t="s">
        <v>657</v>
      </c>
      <c r="L125" s="721"/>
      <c r="M125" s="721"/>
      <c r="N125" s="721"/>
      <c r="O125" s="721"/>
      <c r="P125" s="721"/>
      <c r="Q125" s="721"/>
      <c r="R125" s="721"/>
      <c r="S125" s="721"/>
      <c r="T125" s="721"/>
      <c r="U125" s="722"/>
      <c r="V125" s="573" t="s">
        <v>623</v>
      </c>
      <c r="BC125" s="1" t="s">
        <v>659</v>
      </c>
      <c r="BD125" s="1">
        <v>2</v>
      </c>
    </row>
    <row r="126" spans="1:64" ht="39" customHeight="1">
      <c r="C126" s="526"/>
      <c r="D126" s="553"/>
      <c r="E126" s="554"/>
      <c r="F126" s="554"/>
      <c r="G126" s="554"/>
      <c r="H126" s="554"/>
      <c r="I126" s="555"/>
      <c r="J126" s="546"/>
      <c r="K126" s="720" t="s">
        <v>658</v>
      </c>
      <c r="L126" s="721"/>
      <c r="M126" s="721"/>
      <c r="N126" s="721"/>
      <c r="O126" s="721"/>
      <c r="P126" s="721"/>
      <c r="Q126" s="722"/>
      <c r="R126" s="216" t="s">
        <v>623</v>
      </c>
      <c r="S126" s="153" t="s">
        <v>671</v>
      </c>
      <c r="T126" s="153" t="s">
        <v>672</v>
      </c>
      <c r="U126" s="217" t="s">
        <v>623</v>
      </c>
      <c r="V126" s="574"/>
      <c r="BC126" s="1" t="s">
        <v>660</v>
      </c>
      <c r="BD126" s="1">
        <v>1</v>
      </c>
    </row>
    <row r="127" spans="1:64">
      <c r="C127" s="5">
        <v>1</v>
      </c>
      <c r="D127" s="37"/>
      <c r="E127" s="34"/>
      <c r="F127" s="34"/>
      <c r="G127" s="34"/>
      <c r="H127" s="34"/>
      <c r="I127" s="143"/>
      <c r="J127" s="5"/>
      <c r="K127" s="718"/>
      <c r="L127" s="719"/>
      <c r="M127" s="719"/>
      <c r="N127" s="719"/>
      <c r="O127" s="719"/>
      <c r="P127" s="719"/>
      <c r="Q127" s="719"/>
      <c r="R127" s="146">
        <f t="shared" ref="R127:R136" si="59">IF(K127="",0,J127*(VLOOKUP(K127,$BC$125:$BD$136,2,FALSE)))</f>
        <v>0</v>
      </c>
      <c r="S127" s="152"/>
      <c r="T127" s="154"/>
      <c r="U127" s="155"/>
      <c r="V127" s="150">
        <f t="shared" ref="V127:V136" si="60">+R127+U127</f>
        <v>0</v>
      </c>
      <c r="BC127" s="1" t="s">
        <v>661</v>
      </c>
      <c r="BD127" s="1">
        <v>0.2</v>
      </c>
    </row>
    <row r="128" spans="1:64">
      <c r="C128" s="5">
        <v>2</v>
      </c>
      <c r="D128" s="37"/>
      <c r="E128" s="34"/>
      <c r="F128" s="34"/>
      <c r="G128" s="34"/>
      <c r="H128" s="34"/>
      <c r="I128" s="143"/>
      <c r="J128" s="5"/>
      <c r="K128" s="718"/>
      <c r="L128" s="719"/>
      <c r="M128" s="719"/>
      <c r="N128" s="719"/>
      <c r="O128" s="719"/>
      <c r="P128" s="719"/>
      <c r="Q128" s="719"/>
      <c r="R128" s="146">
        <f t="shared" si="59"/>
        <v>0</v>
      </c>
      <c r="S128" s="152"/>
      <c r="T128" s="154"/>
      <c r="U128" s="155"/>
      <c r="V128" s="150">
        <f t="shared" si="60"/>
        <v>0</v>
      </c>
      <c r="BC128" s="1" t="s">
        <v>662</v>
      </c>
      <c r="BD128" s="1">
        <v>0.3</v>
      </c>
    </row>
    <row r="129" spans="2:56">
      <c r="C129" s="5">
        <v>3</v>
      </c>
      <c r="D129" s="37"/>
      <c r="E129" s="34"/>
      <c r="F129" s="34"/>
      <c r="G129" s="34"/>
      <c r="H129" s="34"/>
      <c r="I129" s="143"/>
      <c r="J129" s="5"/>
      <c r="K129" s="718"/>
      <c r="L129" s="719"/>
      <c r="M129" s="719"/>
      <c r="N129" s="719"/>
      <c r="O129" s="719"/>
      <c r="P129" s="719"/>
      <c r="Q129" s="719"/>
      <c r="R129" s="146">
        <f t="shared" si="59"/>
        <v>0</v>
      </c>
      <c r="S129" s="152"/>
      <c r="T129" s="154"/>
      <c r="U129" s="155"/>
      <c r="V129" s="150">
        <f t="shared" si="60"/>
        <v>0</v>
      </c>
      <c r="BC129" s="1" t="s">
        <v>663</v>
      </c>
      <c r="BD129" s="1">
        <v>0.5</v>
      </c>
    </row>
    <row r="130" spans="2:56">
      <c r="C130" s="5">
        <v>4</v>
      </c>
      <c r="D130" s="37"/>
      <c r="E130" s="34"/>
      <c r="F130" s="34"/>
      <c r="G130" s="34"/>
      <c r="H130" s="34"/>
      <c r="I130" s="143"/>
      <c r="J130" s="5"/>
      <c r="K130" s="718"/>
      <c r="L130" s="719"/>
      <c r="M130" s="719"/>
      <c r="N130" s="719"/>
      <c r="O130" s="719"/>
      <c r="P130" s="719"/>
      <c r="Q130" s="719"/>
      <c r="R130" s="146">
        <f t="shared" si="59"/>
        <v>0</v>
      </c>
      <c r="S130" s="152"/>
      <c r="T130" s="154"/>
      <c r="U130" s="155"/>
      <c r="V130" s="150">
        <f t="shared" si="60"/>
        <v>0</v>
      </c>
      <c r="BC130" s="1" t="s">
        <v>664</v>
      </c>
      <c r="BD130" s="1">
        <v>0.6</v>
      </c>
    </row>
    <row r="131" spans="2:56">
      <c r="C131" s="5">
        <v>5</v>
      </c>
      <c r="D131" s="37"/>
      <c r="E131" s="34"/>
      <c r="F131" s="34"/>
      <c r="G131" s="34"/>
      <c r="H131" s="34"/>
      <c r="I131" s="143"/>
      <c r="J131" s="5"/>
      <c r="K131" s="718"/>
      <c r="L131" s="719"/>
      <c r="M131" s="719"/>
      <c r="N131" s="719"/>
      <c r="O131" s="719"/>
      <c r="P131" s="719"/>
      <c r="Q131" s="719"/>
      <c r="R131" s="146">
        <f t="shared" si="59"/>
        <v>0</v>
      </c>
      <c r="S131" s="152"/>
      <c r="T131" s="154"/>
      <c r="U131" s="155"/>
      <c r="V131" s="150">
        <f t="shared" si="60"/>
        <v>0</v>
      </c>
      <c r="BC131" s="1" t="s">
        <v>665</v>
      </c>
      <c r="BD131" s="1">
        <v>1</v>
      </c>
    </row>
    <row r="132" spans="2:56">
      <c r="C132" s="5">
        <v>6</v>
      </c>
      <c r="D132" s="37"/>
      <c r="E132" s="34"/>
      <c r="F132" s="34"/>
      <c r="G132" s="34"/>
      <c r="H132" s="34"/>
      <c r="I132" s="143"/>
      <c r="J132" s="5"/>
      <c r="K132" s="718"/>
      <c r="L132" s="719"/>
      <c r="M132" s="719"/>
      <c r="N132" s="719"/>
      <c r="O132" s="719"/>
      <c r="P132" s="719"/>
      <c r="Q132" s="719"/>
      <c r="R132" s="146">
        <f t="shared" si="59"/>
        <v>0</v>
      </c>
      <c r="S132" s="152"/>
      <c r="T132" s="154"/>
      <c r="U132" s="155"/>
      <c r="V132" s="150">
        <f t="shared" si="60"/>
        <v>0</v>
      </c>
      <c r="BC132" s="1" t="s">
        <v>666</v>
      </c>
      <c r="BD132" s="1">
        <v>5</v>
      </c>
    </row>
    <row r="133" spans="2:56">
      <c r="C133" s="5">
        <v>7</v>
      </c>
      <c r="D133" s="37"/>
      <c r="E133" s="34"/>
      <c r="F133" s="34"/>
      <c r="G133" s="34"/>
      <c r="H133" s="34"/>
      <c r="I133" s="143"/>
      <c r="J133" s="5"/>
      <c r="K133" s="718"/>
      <c r="L133" s="719"/>
      <c r="M133" s="719"/>
      <c r="N133" s="719"/>
      <c r="O133" s="719"/>
      <c r="P133" s="719"/>
      <c r="Q133" s="719"/>
      <c r="R133" s="146">
        <f t="shared" si="59"/>
        <v>0</v>
      </c>
      <c r="S133" s="152"/>
      <c r="T133" s="154"/>
      <c r="U133" s="155"/>
      <c r="V133" s="150">
        <f t="shared" si="60"/>
        <v>0</v>
      </c>
      <c r="BC133" s="1" t="s">
        <v>667</v>
      </c>
      <c r="BD133" s="1">
        <v>3</v>
      </c>
    </row>
    <row r="134" spans="2:56">
      <c r="C134" s="5">
        <v>8</v>
      </c>
      <c r="D134" s="37"/>
      <c r="E134" s="34"/>
      <c r="F134" s="34"/>
      <c r="G134" s="34"/>
      <c r="H134" s="34"/>
      <c r="I134" s="143"/>
      <c r="J134" s="5"/>
      <c r="K134" s="718"/>
      <c r="L134" s="719"/>
      <c r="M134" s="719"/>
      <c r="N134" s="719"/>
      <c r="O134" s="719"/>
      <c r="P134" s="719"/>
      <c r="Q134" s="719"/>
      <c r="R134" s="146">
        <f t="shared" si="59"/>
        <v>0</v>
      </c>
      <c r="S134" s="152"/>
      <c r="T134" s="154"/>
      <c r="U134" s="155"/>
      <c r="V134" s="150">
        <f t="shared" si="60"/>
        <v>0</v>
      </c>
      <c r="BC134" s="1" t="s">
        <v>668</v>
      </c>
      <c r="BD134" s="1">
        <v>0.15</v>
      </c>
    </row>
    <row r="135" spans="2:56">
      <c r="C135" s="5">
        <v>9</v>
      </c>
      <c r="D135" s="37"/>
      <c r="E135" s="34"/>
      <c r="F135" s="34"/>
      <c r="G135" s="34"/>
      <c r="H135" s="34"/>
      <c r="I135" s="143"/>
      <c r="J135" s="5"/>
      <c r="K135" s="718"/>
      <c r="L135" s="719"/>
      <c r="M135" s="719"/>
      <c r="N135" s="719"/>
      <c r="O135" s="719"/>
      <c r="P135" s="719"/>
      <c r="Q135" s="719"/>
      <c r="R135" s="146">
        <f t="shared" si="59"/>
        <v>0</v>
      </c>
      <c r="S135" s="152"/>
      <c r="T135" s="154"/>
      <c r="U135" s="155"/>
      <c r="V135" s="150">
        <f t="shared" si="60"/>
        <v>0</v>
      </c>
      <c r="BC135" s="1" t="s">
        <v>669</v>
      </c>
      <c r="BD135" s="1">
        <v>0.3</v>
      </c>
    </row>
    <row r="136" spans="2:56">
      <c r="C136" s="5">
        <v>10</v>
      </c>
      <c r="D136" s="37"/>
      <c r="E136" s="34"/>
      <c r="F136" s="34"/>
      <c r="G136" s="34"/>
      <c r="H136" s="34"/>
      <c r="I136" s="143"/>
      <c r="J136" s="5"/>
      <c r="K136" s="718"/>
      <c r="L136" s="719"/>
      <c r="M136" s="719"/>
      <c r="N136" s="719"/>
      <c r="O136" s="719"/>
      <c r="P136" s="719"/>
      <c r="Q136" s="719"/>
      <c r="R136" s="146">
        <f t="shared" si="59"/>
        <v>0</v>
      </c>
      <c r="S136" s="152"/>
      <c r="T136" s="154"/>
      <c r="U136" s="155"/>
      <c r="V136" s="150">
        <f t="shared" si="60"/>
        <v>0</v>
      </c>
      <c r="BC136" s="1" t="s">
        <v>670</v>
      </c>
    </row>
    <row r="137" spans="2:56">
      <c r="C137" s="715" t="s">
        <v>673</v>
      </c>
      <c r="D137" s="716"/>
      <c r="E137" s="716"/>
      <c r="F137" s="716"/>
      <c r="G137" s="716"/>
      <c r="H137" s="716"/>
      <c r="I137" s="716"/>
      <c r="J137" s="716"/>
      <c r="K137" s="716"/>
      <c r="L137" s="716"/>
      <c r="M137" s="716"/>
      <c r="N137" s="716"/>
      <c r="O137" s="716"/>
      <c r="P137" s="716"/>
      <c r="Q137" s="716"/>
      <c r="R137" s="716"/>
      <c r="S137" s="716"/>
      <c r="T137" s="716"/>
      <c r="U137" s="717"/>
      <c r="V137" s="150">
        <f>SUM(V127:V136)</f>
        <v>0</v>
      </c>
    </row>
    <row r="138" spans="2:56">
      <c r="C138" s="141" t="s">
        <v>338</v>
      </c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</row>
    <row r="140" spans="2:56" s="42" customFormat="1">
      <c r="B140" s="16" t="s">
        <v>674</v>
      </c>
    </row>
    <row r="141" spans="2:56" ht="16.5" customHeight="1">
      <c r="C141" s="525" t="s">
        <v>374</v>
      </c>
      <c r="D141" s="550" t="s">
        <v>655</v>
      </c>
      <c r="E141" s="551"/>
      <c r="F141" s="551"/>
      <c r="G141" s="552"/>
      <c r="H141" s="523" t="s">
        <v>675</v>
      </c>
      <c r="I141" s="560" t="s">
        <v>676</v>
      </c>
      <c r="J141" s="561" t="s">
        <v>677</v>
      </c>
      <c r="K141" s="562"/>
      <c r="L141" s="547" t="s">
        <v>678</v>
      </c>
      <c r="M141" s="550" t="s">
        <v>679</v>
      </c>
      <c r="N141" s="551"/>
      <c r="O141" s="551"/>
      <c r="P141" s="551"/>
      <c r="Q141" s="551"/>
      <c r="R141" s="551"/>
      <c r="S141" s="551"/>
      <c r="T141" s="552"/>
      <c r="U141" s="539" t="s">
        <v>581</v>
      </c>
    </row>
    <row r="142" spans="2:56" ht="16.5" customHeight="1">
      <c r="C142" s="526"/>
      <c r="D142" s="557"/>
      <c r="E142" s="558"/>
      <c r="F142" s="558"/>
      <c r="G142" s="559"/>
      <c r="H142" s="523"/>
      <c r="I142" s="560"/>
      <c r="J142" s="563"/>
      <c r="K142" s="564"/>
      <c r="L142" s="548"/>
      <c r="M142" s="553"/>
      <c r="N142" s="554"/>
      <c r="O142" s="554"/>
      <c r="P142" s="554"/>
      <c r="Q142" s="554"/>
      <c r="R142" s="554"/>
      <c r="S142" s="554"/>
      <c r="T142" s="555"/>
      <c r="U142" s="539"/>
    </row>
    <row r="143" spans="2:56" ht="29.25" customHeight="1">
      <c r="C143" s="526"/>
      <c r="D143" s="557"/>
      <c r="E143" s="558"/>
      <c r="F143" s="558"/>
      <c r="G143" s="559"/>
      <c r="H143" s="523"/>
      <c r="I143" s="560"/>
      <c r="J143" s="563"/>
      <c r="K143" s="564"/>
      <c r="L143" s="548"/>
      <c r="M143" s="545" t="s">
        <v>680</v>
      </c>
      <c r="N143" s="545" t="s">
        <v>126</v>
      </c>
      <c r="O143" s="545" t="s">
        <v>125</v>
      </c>
      <c r="P143" s="545" t="s">
        <v>124</v>
      </c>
      <c r="Q143" s="545" t="s">
        <v>123</v>
      </c>
      <c r="R143" s="545" t="s">
        <v>122</v>
      </c>
      <c r="S143" s="545" t="s">
        <v>121</v>
      </c>
      <c r="T143" s="545" t="s">
        <v>681</v>
      </c>
      <c r="U143" s="539"/>
    </row>
    <row r="144" spans="2:56" ht="10.15" customHeight="1">
      <c r="C144" s="556"/>
      <c r="D144" s="553"/>
      <c r="E144" s="554"/>
      <c r="F144" s="554"/>
      <c r="G144" s="555"/>
      <c r="H144" s="523"/>
      <c r="I144" s="560"/>
      <c r="J144" s="565"/>
      <c r="K144" s="566"/>
      <c r="L144" s="549"/>
      <c r="M144" s="546"/>
      <c r="N144" s="546"/>
      <c r="O144" s="546"/>
      <c r="P144" s="546"/>
      <c r="Q144" s="546"/>
      <c r="R144" s="546"/>
      <c r="S144" s="546"/>
      <c r="T144" s="546"/>
      <c r="U144" s="539"/>
    </row>
    <row r="145" spans="1:51">
      <c r="C145" s="5">
        <v>1</v>
      </c>
      <c r="D145" s="540"/>
      <c r="E145" s="541"/>
      <c r="F145" s="541"/>
      <c r="G145" s="542"/>
      <c r="H145" s="5"/>
      <c r="I145" s="5"/>
      <c r="J145" s="543"/>
      <c r="K145" s="544"/>
      <c r="L145" s="102"/>
      <c r="M145" s="9"/>
      <c r="N145" s="9"/>
      <c r="O145" s="9"/>
      <c r="P145" s="9"/>
      <c r="Q145" s="9"/>
      <c r="R145" s="9"/>
      <c r="S145" s="9"/>
      <c r="T145" s="9"/>
      <c r="U145" s="156">
        <f t="shared" ref="U145:U147" si="61">IFERROR(+$AA145*$J145/100,"")</f>
        <v>0</v>
      </c>
      <c r="AA145" s="103">
        <f>+IF($M145&lt;&gt;"",12,IF($N145&lt;&gt;"",10,IF($O145&lt;&gt;"",8,IF($P145&lt;&gt;"",7,IF($Q145&lt;&gt;"",5,IF($R145&lt;&gt;"",3,IF($S145&lt;&gt;"",2,IF($T145&lt;&gt;"",1,0))))))))</f>
        <v>0</v>
      </c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</row>
    <row r="146" spans="1:51">
      <c r="C146" s="5">
        <v>2</v>
      </c>
      <c r="D146" s="540"/>
      <c r="E146" s="541"/>
      <c r="F146" s="541"/>
      <c r="G146" s="542"/>
      <c r="H146" s="5"/>
      <c r="I146" s="5"/>
      <c r="J146" s="543"/>
      <c r="K146" s="544"/>
      <c r="L146" s="102"/>
      <c r="M146" s="9"/>
      <c r="N146" s="9"/>
      <c r="O146" s="9"/>
      <c r="P146" s="9"/>
      <c r="Q146" s="9"/>
      <c r="R146" s="9"/>
      <c r="S146" s="9"/>
      <c r="T146" s="9"/>
      <c r="U146" s="156">
        <f t="shared" si="61"/>
        <v>0</v>
      </c>
      <c r="AA146" s="103">
        <f t="shared" ref="AA146:AA150" si="62">+IF($M146&lt;&gt;"",12,IF($N146&lt;&gt;"",10,IF($O146&lt;&gt;"",8,IF($P146&lt;&gt;"",7,IF($Q146&lt;&gt;"",5,IF($R146&lt;&gt;"",3,IF($S146&lt;&gt;"",2,IF($T146&lt;&gt;"",1,0))))))))</f>
        <v>0</v>
      </c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</row>
    <row r="147" spans="1:51">
      <c r="C147" s="5">
        <v>3</v>
      </c>
      <c r="D147" s="540"/>
      <c r="E147" s="541"/>
      <c r="F147" s="541"/>
      <c r="G147" s="542"/>
      <c r="H147" s="5"/>
      <c r="I147" s="5"/>
      <c r="J147" s="543"/>
      <c r="K147" s="544"/>
      <c r="L147" s="102"/>
      <c r="M147" s="9"/>
      <c r="N147" s="9"/>
      <c r="O147" s="9"/>
      <c r="P147" s="9"/>
      <c r="Q147" s="9"/>
      <c r="R147" s="9"/>
      <c r="S147" s="9"/>
      <c r="T147" s="9"/>
      <c r="U147" s="156">
        <f t="shared" si="61"/>
        <v>0</v>
      </c>
      <c r="AA147" s="103">
        <f t="shared" si="62"/>
        <v>0</v>
      </c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</row>
    <row r="148" spans="1:51">
      <c r="C148" s="5">
        <v>4</v>
      </c>
      <c r="D148" s="540"/>
      <c r="E148" s="541"/>
      <c r="F148" s="541"/>
      <c r="G148" s="542"/>
      <c r="H148" s="5"/>
      <c r="I148" s="5"/>
      <c r="J148" s="543" t="str">
        <f t="shared" ref="J146:J150" si="63">IFERROR(100/L148,"")</f>
        <v/>
      </c>
      <c r="K148" s="544"/>
      <c r="L148" s="102"/>
      <c r="M148" s="9"/>
      <c r="N148" s="9"/>
      <c r="O148" s="9"/>
      <c r="P148" s="9"/>
      <c r="Q148" s="9"/>
      <c r="R148" s="9"/>
      <c r="S148" s="9"/>
      <c r="T148" s="9"/>
      <c r="U148" s="156" t="str">
        <f>IFERROR(+$AA148*$J148/100,"")</f>
        <v/>
      </c>
      <c r="AA148" s="103">
        <f t="shared" si="62"/>
        <v>0</v>
      </c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</row>
    <row r="149" spans="1:51">
      <c r="C149" s="5">
        <v>5</v>
      </c>
      <c r="D149" s="540"/>
      <c r="E149" s="541"/>
      <c r="F149" s="541"/>
      <c r="G149" s="542"/>
      <c r="H149" s="5"/>
      <c r="I149" s="5"/>
      <c r="J149" s="543" t="str">
        <f t="shared" si="63"/>
        <v/>
      </c>
      <c r="K149" s="544"/>
      <c r="L149" s="102"/>
      <c r="M149" s="9"/>
      <c r="N149" s="9"/>
      <c r="O149" s="9"/>
      <c r="P149" s="9"/>
      <c r="Q149" s="9"/>
      <c r="R149" s="9"/>
      <c r="S149" s="9"/>
      <c r="T149" s="9"/>
      <c r="U149" s="156" t="str">
        <f t="shared" ref="U149:U150" si="64">IFERROR(+$AA149*$J149/100,"")</f>
        <v/>
      </c>
      <c r="AA149" s="103">
        <f t="shared" si="62"/>
        <v>0</v>
      </c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</row>
    <row r="150" spans="1:51" ht="14.25">
      <c r="C150" s="5">
        <v>6</v>
      </c>
      <c r="D150" s="540"/>
      <c r="E150" s="541"/>
      <c r="F150" s="541"/>
      <c r="G150" s="542"/>
      <c r="H150" s="5"/>
      <c r="I150" s="5"/>
      <c r="J150" s="543" t="str">
        <f t="shared" si="63"/>
        <v/>
      </c>
      <c r="K150" s="544"/>
      <c r="L150" s="102"/>
      <c r="M150" s="9"/>
      <c r="N150" s="9"/>
      <c r="O150" s="9"/>
      <c r="P150" s="9"/>
      <c r="Q150" s="9"/>
      <c r="R150" s="9"/>
      <c r="S150" s="9"/>
      <c r="T150" s="9"/>
      <c r="U150" s="156" t="str">
        <f t="shared" si="64"/>
        <v/>
      </c>
      <c r="X150"/>
      <c r="AA150" s="103">
        <f t="shared" si="62"/>
        <v>0</v>
      </c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</row>
    <row r="151" spans="1:51" ht="14.25">
      <c r="C151" s="506" t="s">
        <v>682</v>
      </c>
      <c r="D151" s="507"/>
      <c r="E151" s="507"/>
      <c r="F151" s="507"/>
      <c r="G151" s="507"/>
      <c r="H151" s="507"/>
      <c r="I151" s="507"/>
      <c r="J151" s="507"/>
      <c r="K151" s="507"/>
      <c r="L151" s="507"/>
      <c r="M151" s="507"/>
      <c r="N151" s="507"/>
      <c r="O151" s="507"/>
      <c r="P151" s="507"/>
      <c r="Q151" s="507"/>
      <c r="R151" s="507"/>
      <c r="S151" s="507"/>
      <c r="T151" s="508"/>
      <c r="U151" s="150">
        <f>SUM(U145:U150)</f>
        <v>0</v>
      </c>
      <c r="X151"/>
    </row>
    <row r="152" spans="1:51" ht="14.25"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</row>
    <row r="154" spans="1:51">
      <c r="A154" s="1" t="s">
        <v>683</v>
      </c>
    </row>
    <row r="155" spans="1:51" ht="12.75" customHeight="1">
      <c r="C155" s="525" t="s">
        <v>374</v>
      </c>
      <c r="D155" s="527" t="s">
        <v>684</v>
      </c>
      <c r="E155" s="528"/>
      <c r="F155" s="528"/>
      <c r="G155" s="528"/>
      <c r="H155" s="528"/>
      <c r="I155" s="528"/>
      <c r="J155" s="529"/>
      <c r="K155" s="520" t="s">
        <v>685</v>
      </c>
      <c r="L155" s="521"/>
      <c r="M155" s="521"/>
      <c r="N155" s="521"/>
      <c r="O155" s="521"/>
      <c r="P155" s="521"/>
      <c r="Q155" s="521"/>
      <c r="R155" s="521"/>
      <c r="S155" s="522"/>
      <c r="T155" s="536" t="s">
        <v>686</v>
      </c>
      <c r="U155" s="539" t="s">
        <v>687</v>
      </c>
    </row>
    <row r="156" spans="1:51" ht="45.75" customHeight="1">
      <c r="C156" s="526"/>
      <c r="D156" s="530"/>
      <c r="E156" s="531"/>
      <c r="F156" s="531"/>
      <c r="G156" s="531"/>
      <c r="H156" s="531"/>
      <c r="I156" s="531"/>
      <c r="J156" s="532"/>
      <c r="K156" s="520" t="s">
        <v>688</v>
      </c>
      <c r="L156" s="521"/>
      <c r="M156" s="522"/>
      <c r="N156" s="520" t="s">
        <v>689</v>
      </c>
      <c r="O156" s="521"/>
      <c r="P156" s="522"/>
      <c r="Q156" s="520" t="s">
        <v>609</v>
      </c>
      <c r="R156" s="521"/>
      <c r="S156" s="522"/>
      <c r="T156" s="537"/>
      <c r="U156" s="539"/>
    </row>
    <row r="157" spans="1:51">
      <c r="C157" s="526"/>
      <c r="D157" s="533"/>
      <c r="E157" s="534"/>
      <c r="F157" s="534"/>
      <c r="G157" s="534"/>
      <c r="H157" s="534"/>
      <c r="I157" s="534"/>
      <c r="J157" s="535"/>
      <c r="K157" s="6" t="s">
        <v>9</v>
      </c>
      <c r="L157" s="6" t="s">
        <v>10</v>
      </c>
      <c r="M157" s="6" t="s">
        <v>11</v>
      </c>
      <c r="N157" s="6" t="s">
        <v>12</v>
      </c>
      <c r="O157" s="6" t="s">
        <v>13</v>
      </c>
      <c r="P157" s="6" t="s">
        <v>14</v>
      </c>
      <c r="Q157" s="6" t="s">
        <v>15</v>
      </c>
      <c r="R157" s="6" t="s">
        <v>16</v>
      </c>
      <c r="S157" s="6" t="s">
        <v>17</v>
      </c>
      <c r="T157" s="538"/>
      <c r="U157" s="539"/>
    </row>
    <row r="158" spans="1:51">
      <c r="C158" s="5"/>
      <c r="D158" s="37"/>
      <c r="E158" s="34"/>
      <c r="F158" s="34"/>
      <c r="G158" s="34"/>
      <c r="H158" s="34"/>
      <c r="I158" s="34"/>
      <c r="J158" s="34"/>
      <c r="K158" s="9"/>
      <c r="L158" s="9"/>
      <c r="M158" s="9"/>
      <c r="N158" s="9"/>
      <c r="O158" s="9"/>
      <c r="P158" s="9"/>
      <c r="Q158" s="9"/>
      <c r="R158" s="9"/>
      <c r="S158" s="9"/>
      <c r="T158" s="5"/>
      <c r="U158" s="146">
        <f>IF(OR(K158&lt;&gt;"",N158&lt;&gt;""),2*T158,IF(OR(L158&lt;&gt;"",O158&lt;&gt;""),1*T158,IF(OR(M158&lt;&gt;"",P158&lt;&gt;""),0.2*T158,IF(Q158&lt;&gt;"",2,IF(R158&lt;&gt;"",1,IF(S158&lt;&gt;"",0.5,0))))))</f>
        <v>0</v>
      </c>
    </row>
    <row r="159" spans="1:51">
      <c r="C159" s="5"/>
      <c r="D159" s="37"/>
      <c r="E159" s="34"/>
      <c r="F159" s="34"/>
      <c r="G159" s="34"/>
      <c r="H159" s="34"/>
      <c r="I159" s="34"/>
      <c r="J159" s="34"/>
      <c r="K159" s="9"/>
      <c r="L159" s="9"/>
      <c r="M159" s="9"/>
      <c r="N159" s="9"/>
      <c r="O159" s="9"/>
      <c r="P159" s="9"/>
      <c r="Q159" s="9"/>
      <c r="R159" s="9"/>
      <c r="S159" s="9"/>
      <c r="T159" s="5"/>
      <c r="U159" s="146">
        <f t="shared" ref="U159:U164" si="65">IF(OR(K159&lt;&gt;"",N159&lt;&gt;""),2*T159,IF(OR(L159&lt;&gt;"",O159&lt;&gt;""),1*T159,IF(OR(M159&lt;&gt;"",P159&lt;&gt;""),0.2*T159,IF(Q159&lt;&gt;"",2,IF(R159&lt;&gt;"",1,IF(S159&lt;&gt;"",0.5,0))))))</f>
        <v>0</v>
      </c>
    </row>
    <row r="160" spans="1:51">
      <c r="C160" s="5"/>
      <c r="D160" s="37"/>
      <c r="E160" s="34"/>
      <c r="F160" s="34"/>
      <c r="G160" s="34"/>
      <c r="H160" s="34"/>
      <c r="I160" s="34"/>
      <c r="J160" s="34"/>
      <c r="K160" s="9"/>
      <c r="L160" s="9"/>
      <c r="M160" s="9"/>
      <c r="N160" s="9"/>
      <c r="O160" s="9"/>
      <c r="P160" s="9"/>
      <c r="Q160" s="9"/>
      <c r="R160" s="9"/>
      <c r="S160" s="9"/>
      <c r="T160" s="5"/>
      <c r="U160" s="146">
        <f t="shared" si="65"/>
        <v>0</v>
      </c>
    </row>
    <row r="161" spans="1:24">
      <c r="C161" s="5"/>
      <c r="D161" s="37"/>
      <c r="E161" s="34"/>
      <c r="F161" s="34"/>
      <c r="G161" s="34"/>
      <c r="H161" s="34"/>
      <c r="I161" s="34"/>
      <c r="J161" s="34"/>
      <c r="K161" s="9"/>
      <c r="L161" s="9"/>
      <c r="M161" s="9"/>
      <c r="N161" s="9"/>
      <c r="O161" s="9"/>
      <c r="P161" s="9"/>
      <c r="Q161" s="9"/>
      <c r="R161" s="9"/>
      <c r="S161" s="9"/>
      <c r="T161" s="5"/>
      <c r="U161" s="146">
        <f t="shared" si="65"/>
        <v>0</v>
      </c>
    </row>
    <row r="162" spans="1:24">
      <c r="C162" s="5"/>
      <c r="D162" s="37"/>
      <c r="E162" s="34"/>
      <c r="F162" s="34"/>
      <c r="G162" s="34"/>
      <c r="H162" s="34"/>
      <c r="I162" s="34"/>
      <c r="J162" s="34"/>
      <c r="K162" s="9"/>
      <c r="L162" s="9"/>
      <c r="M162" s="9"/>
      <c r="N162" s="9"/>
      <c r="O162" s="9"/>
      <c r="P162" s="9"/>
      <c r="Q162" s="9"/>
      <c r="R162" s="9"/>
      <c r="S162" s="9"/>
      <c r="T162" s="5"/>
      <c r="U162" s="146">
        <f t="shared" si="65"/>
        <v>0</v>
      </c>
    </row>
    <row r="163" spans="1:24">
      <c r="C163" s="5"/>
      <c r="D163" s="37"/>
      <c r="E163" s="34"/>
      <c r="F163" s="34"/>
      <c r="G163" s="34"/>
      <c r="H163" s="34"/>
      <c r="I163" s="34"/>
      <c r="J163" s="34"/>
      <c r="K163" s="9"/>
      <c r="L163" s="9"/>
      <c r="M163" s="9"/>
      <c r="N163" s="9"/>
      <c r="O163" s="9"/>
      <c r="P163" s="9"/>
      <c r="Q163" s="9"/>
      <c r="R163" s="9"/>
      <c r="S163" s="9"/>
      <c r="T163" s="5"/>
      <c r="U163" s="146">
        <f t="shared" si="65"/>
        <v>0</v>
      </c>
    </row>
    <row r="164" spans="1:24">
      <c r="C164" s="5"/>
      <c r="D164" s="37"/>
      <c r="E164" s="34"/>
      <c r="F164" s="34"/>
      <c r="G164" s="34"/>
      <c r="H164" s="34"/>
      <c r="I164" s="34"/>
      <c r="J164" s="34"/>
      <c r="K164" s="9"/>
      <c r="L164" s="9"/>
      <c r="M164" s="9"/>
      <c r="N164" s="9"/>
      <c r="O164" s="9"/>
      <c r="P164" s="9"/>
      <c r="Q164" s="9"/>
      <c r="R164" s="9"/>
      <c r="S164" s="9"/>
      <c r="T164" s="5"/>
      <c r="U164" s="146">
        <f t="shared" si="65"/>
        <v>0</v>
      </c>
    </row>
    <row r="165" spans="1:24">
      <c r="C165" s="506" t="s">
        <v>690</v>
      </c>
      <c r="D165" s="507"/>
      <c r="E165" s="507"/>
      <c r="F165" s="507"/>
      <c r="G165" s="507"/>
      <c r="H165" s="507"/>
      <c r="I165" s="507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8"/>
      <c r="U165" s="146">
        <f>SUM(U158:U164)</f>
        <v>0</v>
      </c>
    </row>
    <row r="166" spans="1:24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4">
      <c r="A167" s="1" t="s">
        <v>691</v>
      </c>
    </row>
    <row r="168" spans="1:24" ht="40.5" customHeight="1">
      <c r="C168" s="509" t="s">
        <v>374</v>
      </c>
      <c r="D168" s="517" t="s">
        <v>692</v>
      </c>
      <c r="E168" s="518"/>
      <c r="F168" s="518"/>
      <c r="G168" s="518"/>
      <c r="H168" s="518"/>
      <c r="I168" s="518"/>
      <c r="J168" s="518"/>
      <c r="K168" s="518"/>
      <c r="L168" s="518"/>
      <c r="M168" s="518"/>
      <c r="N168" s="518"/>
      <c r="O168" s="519"/>
      <c r="P168" s="520" t="s">
        <v>693</v>
      </c>
      <c r="Q168" s="521"/>
      <c r="R168" s="521"/>
      <c r="S168" s="521"/>
      <c r="T168" s="521"/>
      <c r="U168" s="521"/>
      <c r="V168" s="521"/>
      <c r="W168" s="522"/>
      <c r="X168" s="523" t="s">
        <v>581</v>
      </c>
    </row>
    <row r="169" spans="1:24" ht="40.5" customHeight="1">
      <c r="C169" s="509"/>
      <c r="D169" s="524" t="s">
        <v>694</v>
      </c>
      <c r="E169" s="509"/>
      <c r="F169" s="218" t="s">
        <v>695</v>
      </c>
      <c r="G169" s="509" t="s">
        <v>696</v>
      </c>
      <c r="H169" s="509"/>
      <c r="I169" s="509"/>
      <c r="J169" s="509"/>
      <c r="K169" s="509"/>
      <c r="L169" s="509"/>
      <c r="M169" s="509" t="s">
        <v>697</v>
      </c>
      <c r="N169" s="509"/>
      <c r="O169" s="509"/>
      <c r="P169" s="6" t="s">
        <v>9</v>
      </c>
      <c r="Q169" s="6" t="s">
        <v>10</v>
      </c>
      <c r="R169" s="6" t="s">
        <v>11</v>
      </c>
      <c r="S169" s="48" t="s">
        <v>12</v>
      </c>
      <c r="T169" s="48" t="s">
        <v>13</v>
      </c>
      <c r="U169" s="48" t="s">
        <v>14</v>
      </c>
      <c r="V169" s="48" t="s">
        <v>15</v>
      </c>
      <c r="W169" s="48" t="s">
        <v>16</v>
      </c>
      <c r="X169" s="523"/>
    </row>
    <row r="170" spans="1:24">
      <c r="C170" s="5"/>
      <c r="D170" s="504"/>
      <c r="E170" s="504"/>
      <c r="F170" s="12"/>
      <c r="G170" s="505"/>
      <c r="H170" s="505"/>
      <c r="I170" s="505"/>
      <c r="J170" s="505"/>
      <c r="K170" s="505"/>
      <c r="L170" s="505"/>
      <c r="M170" s="505"/>
      <c r="N170" s="505"/>
      <c r="O170" s="505"/>
      <c r="P170" s="9"/>
      <c r="Q170" s="9"/>
      <c r="R170" s="9"/>
      <c r="S170" s="9"/>
      <c r="T170" s="9"/>
      <c r="U170" s="9"/>
      <c r="V170" s="9"/>
      <c r="W170" s="9"/>
      <c r="X170" s="5"/>
    </row>
    <row r="171" spans="1:24">
      <c r="C171" s="5"/>
      <c r="D171" s="504"/>
      <c r="E171" s="504"/>
      <c r="F171" s="12"/>
      <c r="G171" s="505"/>
      <c r="H171" s="505"/>
      <c r="I171" s="505"/>
      <c r="J171" s="505"/>
      <c r="K171" s="505"/>
      <c r="L171" s="505"/>
      <c r="M171" s="505"/>
      <c r="N171" s="505"/>
      <c r="O171" s="505"/>
      <c r="P171" s="9"/>
      <c r="Q171" s="9"/>
      <c r="R171" s="9"/>
      <c r="S171" s="9"/>
      <c r="T171" s="9"/>
      <c r="U171" s="9"/>
      <c r="V171" s="9"/>
      <c r="W171" s="9"/>
      <c r="X171" s="5"/>
    </row>
    <row r="172" spans="1:24">
      <c r="C172" s="5"/>
      <c r="D172" s="504"/>
      <c r="E172" s="504"/>
      <c r="F172" s="12"/>
      <c r="G172" s="505"/>
      <c r="H172" s="505"/>
      <c r="I172" s="505"/>
      <c r="J172" s="505"/>
      <c r="K172" s="505"/>
      <c r="L172" s="505"/>
      <c r="M172" s="505"/>
      <c r="N172" s="505"/>
      <c r="O172" s="505"/>
      <c r="P172" s="9"/>
      <c r="Q172" s="9"/>
      <c r="R172" s="9"/>
      <c r="S172" s="9"/>
      <c r="T172" s="9"/>
      <c r="U172" s="9"/>
      <c r="V172" s="9"/>
      <c r="W172" s="9"/>
      <c r="X172" s="5"/>
    </row>
    <row r="173" spans="1:24">
      <c r="C173" s="5"/>
      <c r="D173" s="504"/>
      <c r="E173" s="504"/>
      <c r="F173" s="12"/>
      <c r="G173" s="505"/>
      <c r="H173" s="505"/>
      <c r="I173" s="505"/>
      <c r="J173" s="505"/>
      <c r="K173" s="505"/>
      <c r="L173" s="505"/>
      <c r="M173" s="505"/>
      <c r="N173" s="505"/>
      <c r="O173" s="505"/>
      <c r="P173" s="9"/>
      <c r="Q173" s="9"/>
      <c r="R173" s="9"/>
      <c r="S173" s="9"/>
      <c r="T173" s="9"/>
      <c r="U173" s="9"/>
      <c r="V173" s="9"/>
      <c r="W173" s="9"/>
      <c r="X173" s="5"/>
    </row>
    <row r="174" spans="1:24">
      <c r="C174" s="5"/>
      <c r="D174" s="504"/>
      <c r="E174" s="504"/>
      <c r="F174" s="12"/>
      <c r="G174" s="505"/>
      <c r="H174" s="505"/>
      <c r="I174" s="505"/>
      <c r="J174" s="505"/>
      <c r="K174" s="505"/>
      <c r="L174" s="505"/>
      <c r="M174" s="505"/>
      <c r="N174" s="505"/>
      <c r="O174" s="505"/>
      <c r="P174" s="9"/>
      <c r="Q174" s="9"/>
      <c r="R174" s="9"/>
      <c r="S174" s="9"/>
      <c r="T174" s="9"/>
      <c r="U174" s="9"/>
      <c r="V174" s="9"/>
      <c r="W174" s="9"/>
      <c r="X174" s="5"/>
    </row>
    <row r="175" spans="1:24">
      <c r="C175" s="506" t="s">
        <v>272</v>
      </c>
      <c r="D175" s="507"/>
      <c r="E175" s="507"/>
      <c r="F175" s="507"/>
      <c r="G175" s="507"/>
      <c r="H175" s="507"/>
      <c r="I175" s="507"/>
      <c r="J175" s="507"/>
      <c r="K175" s="507"/>
      <c r="L175" s="507"/>
      <c r="M175" s="507"/>
      <c r="N175" s="507"/>
      <c r="O175" s="507"/>
      <c r="P175" s="507"/>
      <c r="Q175" s="507"/>
      <c r="R175" s="507"/>
      <c r="S175" s="507"/>
      <c r="T175" s="507"/>
      <c r="U175" s="507"/>
      <c r="V175" s="507"/>
      <c r="W175" s="508"/>
      <c r="X175" s="52">
        <f>SUM(X170:X174)</f>
        <v>0</v>
      </c>
    </row>
    <row r="177" spans="1:23">
      <c r="A177" s="1" t="s">
        <v>698</v>
      </c>
    </row>
    <row r="179" spans="1:23" ht="57">
      <c r="C179" s="43" t="s">
        <v>374</v>
      </c>
      <c r="D179" s="509" t="s">
        <v>699</v>
      </c>
      <c r="E179" s="509"/>
      <c r="F179" s="509"/>
      <c r="G179" s="509"/>
      <c r="H179" s="509"/>
      <c r="I179" s="509"/>
      <c r="J179" s="509"/>
      <c r="K179" s="509"/>
      <c r="L179" s="509"/>
      <c r="M179" s="49" t="s">
        <v>581</v>
      </c>
    </row>
    <row r="180" spans="1:23">
      <c r="C180" s="5"/>
      <c r="D180" s="505"/>
      <c r="E180" s="505"/>
      <c r="F180" s="505"/>
      <c r="G180" s="505"/>
      <c r="H180" s="505"/>
      <c r="I180" s="505"/>
      <c r="J180" s="505"/>
      <c r="K180" s="505"/>
      <c r="L180" s="505"/>
      <c r="M180" s="5"/>
    </row>
    <row r="181" spans="1:23">
      <c r="C181" s="5"/>
      <c r="D181" s="505"/>
      <c r="E181" s="505"/>
      <c r="F181" s="505"/>
      <c r="G181" s="505"/>
      <c r="H181" s="505"/>
      <c r="I181" s="505"/>
      <c r="J181" s="505"/>
      <c r="K181" s="505"/>
      <c r="L181" s="505"/>
      <c r="M181" s="5"/>
    </row>
    <row r="182" spans="1:23">
      <c r="C182" s="506" t="s">
        <v>51</v>
      </c>
      <c r="D182" s="507"/>
      <c r="E182" s="507"/>
      <c r="F182" s="507"/>
      <c r="G182" s="507"/>
      <c r="H182" s="507"/>
      <c r="I182" s="507"/>
      <c r="J182" s="507"/>
      <c r="K182" s="507"/>
      <c r="L182" s="508"/>
      <c r="M182" s="52">
        <f>SUM(M180:M181)</f>
        <v>0</v>
      </c>
    </row>
    <row r="184" spans="1:23">
      <c r="A184" s="1" t="s">
        <v>700</v>
      </c>
    </row>
    <row r="186" spans="1:23" ht="45.75">
      <c r="C186" s="43" t="s">
        <v>374</v>
      </c>
      <c r="D186" s="509" t="s">
        <v>790</v>
      </c>
      <c r="E186" s="509"/>
      <c r="F186" s="509"/>
      <c r="G186" s="509"/>
      <c r="H186" s="509"/>
      <c r="I186" s="509"/>
      <c r="J186" s="509"/>
      <c r="K186" s="509"/>
      <c r="L186" s="509"/>
      <c r="M186" s="49" t="s">
        <v>623</v>
      </c>
      <c r="O186" s="1" t="s">
        <v>711</v>
      </c>
    </row>
    <row r="187" spans="1:23">
      <c r="C187" s="5">
        <v>1</v>
      </c>
      <c r="D187" s="505" t="str">
        <f>IF(M187&lt;20,"The teaching load does not meet the criteria. (Less than 20 Teaching Loads per week)","Regular Teaching Duty")</f>
        <v>The teaching load does not meet the criteria. (Less than 20 Teaching Loads per week)</v>
      </c>
      <c r="E187" s="505"/>
      <c r="F187" s="505"/>
      <c r="G187" s="505"/>
      <c r="H187" s="505"/>
      <c r="I187" s="505"/>
      <c r="J187" s="505"/>
      <c r="K187" s="505"/>
      <c r="L187" s="505"/>
      <c r="M187" s="53">
        <f>+P30+X46+W60+U81+Q94</f>
        <v>0</v>
      </c>
      <c r="O187" s="510" t="s">
        <v>712</v>
      </c>
      <c r="P187" s="510"/>
      <c r="Q187" s="510"/>
      <c r="R187" s="510"/>
      <c r="S187" s="510"/>
      <c r="T187" s="510"/>
      <c r="U187" s="510"/>
      <c r="V187" s="510"/>
      <c r="W187" s="510"/>
    </row>
    <row r="188" spans="1:23">
      <c r="C188" s="5">
        <v>2</v>
      </c>
      <c r="D188" s="505" t="s">
        <v>701</v>
      </c>
      <c r="E188" s="505"/>
      <c r="F188" s="505"/>
      <c r="G188" s="505"/>
      <c r="H188" s="505"/>
      <c r="I188" s="505"/>
      <c r="J188" s="505"/>
      <c r="K188" s="505"/>
      <c r="L188" s="505"/>
      <c r="M188" s="157">
        <f>+X108+X119</f>
        <v>0</v>
      </c>
      <c r="O188" s="510" t="s">
        <v>713</v>
      </c>
      <c r="P188" s="510"/>
      <c r="Q188" s="510"/>
      <c r="R188" s="510"/>
      <c r="S188" s="510"/>
      <c r="T188" s="510"/>
      <c r="U188" s="510"/>
      <c r="V188" s="510"/>
      <c r="W188" s="510"/>
    </row>
    <row r="189" spans="1:23">
      <c r="C189" s="5">
        <v>3</v>
      </c>
      <c r="D189" s="505" t="s">
        <v>702</v>
      </c>
      <c r="E189" s="505"/>
      <c r="F189" s="505"/>
      <c r="G189" s="505"/>
      <c r="H189" s="505"/>
      <c r="I189" s="505"/>
      <c r="J189" s="505"/>
      <c r="K189" s="505"/>
      <c r="L189" s="505"/>
      <c r="M189" s="157">
        <f>+V137+U151</f>
        <v>0</v>
      </c>
      <c r="O189" s="513"/>
      <c r="P189" s="513"/>
      <c r="Q189" s="513"/>
      <c r="R189" s="513"/>
      <c r="S189" s="513"/>
      <c r="T189" s="513"/>
      <c r="U189" s="513"/>
      <c r="V189" s="513"/>
    </row>
    <row r="190" spans="1:23">
      <c r="C190" s="5">
        <v>4</v>
      </c>
      <c r="D190" s="505" t="s">
        <v>703</v>
      </c>
      <c r="E190" s="505"/>
      <c r="F190" s="505"/>
      <c r="G190" s="505"/>
      <c r="H190" s="505"/>
      <c r="I190" s="505"/>
      <c r="J190" s="505"/>
      <c r="K190" s="505"/>
      <c r="L190" s="505"/>
      <c r="M190" s="157">
        <f>+U165</f>
        <v>0</v>
      </c>
      <c r="O190" s="513"/>
      <c r="P190" s="513"/>
      <c r="Q190" s="513"/>
      <c r="R190" s="513"/>
      <c r="S190" s="513"/>
      <c r="T190" s="513"/>
      <c r="U190" s="513"/>
      <c r="V190" s="513"/>
    </row>
    <row r="191" spans="1:23">
      <c r="C191" s="5">
        <v>5</v>
      </c>
      <c r="D191" s="505" t="s">
        <v>692</v>
      </c>
      <c r="E191" s="505"/>
      <c r="F191" s="505"/>
      <c r="G191" s="505"/>
      <c r="H191" s="505"/>
      <c r="I191" s="505"/>
      <c r="J191" s="505"/>
      <c r="K191" s="505"/>
      <c r="L191" s="505"/>
      <c r="M191" s="52">
        <f>+X175</f>
        <v>0</v>
      </c>
      <c r="O191" s="513"/>
      <c r="P191" s="513"/>
      <c r="Q191" s="513"/>
      <c r="R191" s="513"/>
      <c r="S191" s="513"/>
      <c r="T191" s="513"/>
      <c r="U191" s="513"/>
      <c r="V191" s="513"/>
    </row>
    <row r="192" spans="1:23">
      <c r="C192" s="5">
        <v>6</v>
      </c>
      <c r="D192" s="505" t="s">
        <v>704</v>
      </c>
      <c r="E192" s="505"/>
      <c r="F192" s="505"/>
      <c r="G192" s="505"/>
      <c r="H192" s="505"/>
      <c r="I192" s="505"/>
      <c r="J192" s="505"/>
      <c r="K192" s="505"/>
      <c r="L192" s="505"/>
      <c r="M192" s="52">
        <f>+M182</f>
        <v>0</v>
      </c>
      <c r="O192" s="513"/>
      <c r="P192" s="513"/>
      <c r="Q192" s="513"/>
      <c r="R192" s="513"/>
      <c r="S192" s="513"/>
      <c r="T192" s="513"/>
      <c r="U192" s="513"/>
      <c r="V192" s="513"/>
    </row>
    <row r="193" spans="1:22">
      <c r="C193" s="506" t="s">
        <v>705</v>
      </c>
      <c r="D193" s="507"/>
      <c r="E193" s="507"/>
      <c r="F193" s="507"/>
      <c r="G193" s="507"/>
      <c r="H193" s="507"/>
      <c r="I193" s="507"/>
      <c r="J193" s="507"/>
      <c r="K193" s="507"/>
      <c r="L193" s="508"/>
      <c r="M193" s="52">
        <f>SUM(M187:M192)</f>
        <v>0</v>
      </c>
    </row>
    <row r="194" spans="1:22">
      <c r="C194" s="1" t="s">
        <v>706</v>
      </c>
    </row>
    <row r="195" spans="1:22">
      <c r="D195" s="55"/>
      <c r="E195" s="1" t="s">
        <v>707</v>
      </c>
      <c r="O195" s="511" t="s">
        <v>714</v>
      </c>
      <c r="P195" s="511"/>
      <c r="Q195" s="511"/>
      <c r="R195" s="511"/>
      <c r="S195" s="511"/>
      <c r="T195" s="511"/>
      <c r="U195" s="511"/>
      <c r="V195" s="511"/>
    </row>
    <row r="196" spans="1:22">
      <c r="D196" s="55"/>
      <c r="E196" s="1" t="s">
        <v>708</v>
      </c>
      <c r="O196" s="511"/>
      <c r="P196" s="511"/>
      <c r="Q196" s="511"/>
      <c r="R196" s="511"/>
      <c r="S196" s="511"/>
      <c r="T196" s="511"/>
      <c r="U196" s="511"/>
      <c r="V196" s="511"/>
    </row>
    <row r="197" spans="1:22">
      <c r="D197" s="55"/>
      <c r="E197" s="1" t="s">
        <v>709</v>
      </c>
      <c r="O197" s="511"/>
      <c r="P197" s="511"/>
      <c r="Q197" s="511"/>
      <c r="R197" s="511"/>
      <c r="S197" s="511"/>
      <c r="T197" s="511"/>
      <c r="U197" s="511"/>
      <c r="V197" s="511"/>
    </row>
    <row r="198" spans="1:22">
      <c r="D198" s="55"/>
      <c r="E198" s="1" t="s">
        <v>710</v>
      </c>
      <c r="G198" s="512"/>
      <c r="H198" s="512"/>
      <c r="I198" s="512"/>
      <c r="J198" s="512"/>
      <c r="K198" s="512"/>
      <c r="L198" s="512"/>
      <c r="M198" s="512"/>
      <c r="N198" s="512"/>
      <c r="O198" s="511" t="s">
        <v>52</v>
      </c>
      <c r="P198" s="511"/>
      <c r="Q198" s="511"/>
      <c r="R198" s="511"/>
      <c r="S198" s="511"/>
      <c r="T198" s="511"/>
      <c r="U198" s="511"/>
      <c r="V198" s="511"/>
    </row>
    <row r="199" spans="1:22">
      <c r="O199" s="511" t="s">
        <v>715</v>
      </c>
      <c r="P199" s="511"/>
      <c r="Q199" s="511"/>
      <c r="R199" s="511"/>
      <c r="S199" s="511"/>
      <c r="T199" s="511"/>
      <c r="U199" s="511"/>
      <c r="V199" s="511"/>
    </row>
    <row r="200" spans="1:22">
      <c r="A200" s="1" t="s">
        <v>717</v>
      </c>
    </row>
    <row r="201" spans="1:22" ht="14.25" customHeight="1">
      <c r="C201" s="1" t="s">
        <v>718</v>
      </c>
      <c r="I201" s="219"/>
      <c r="J201" s="516"/>
      <c r="K201" s="516"/>
      <c r="L201" s="516"/>
      <c r="M201" s="516"/>
      <c r="N201" s="516"/>
      <c r="O201" s="1" t="s">
        <v>716</v>
      </c>
    </row>
    <row r="202" spans="1:22" ht="4.5" customHeight="1">
      <c r="I202" s="15"/>
      <c r="J202" s="15"/>
      <c r="K202" s="15"/>
      <c r="L202" s="15"/>
      <c r="M202" s="15"/>
    </row>
    <row r="203" spans="1:22">
      <c r="C203" s="1" t="s">
        <v>719</v>
      </c>
      <c r="E203" s="54"/>
      <c r="F203" s="1" t="s">
        <v>720</v>
      </c>
      <c r="I203" s="54"/>
      <c r="J203" s="1" t="s">
        <v>721</v>
      </c>
      <c r="O203" s="511"/>
      <c r="P203" s="511"/>
      <c r="Q203" s="511"/>
      <c r="R203" s="511"/>
      <c r="S203" s="511"/>
      <c r="T203" s="511"/>
      <c r="U203" s="511"/>
      <c r="V203" s="511"/>
    </row>
    <row r="204" spans="1:22" ht="29.45" customHeight="1">
      <c r="C204" s="515" t="s">
        <v>722</v>
      </c>
      <c r="D204" s="515"/>
      <c r="E204" s="515"/>
      <c r="F204" s="515"/>
      <c r="G204" s="515"/>
      <c r="H204" s="515"/>
      <c r="I204" s="515"/>
      <c r="J204" s="515"/>
      <c r="K204" s="515"/>
      <c r="L204" s="515"/>
      <c r="M204" s="515"/>
      <c r="N204" s="515"/>
      <c r="O204" s="514"/>
      <c r="P204" s="514"/>
      <c r="Q204" s="514"/>
      <c r="R204" s="514"/>
      <c r="S204" s="514"/>
      <c r="T204" s="514"/>
      <c r="U204" s="514"/>
      <c r="V204" s="514"/>
    </row>
    <row r="205" spans="1:22">
      <c r="C205" s="511"/>
      <c r="D205" s="511"/>
      <c r="E205" s="511"/>
      <c r="F205" s="511"/>
      <c r="G205" s="511"/>
      <c r="H205" s="511"/>
      <c r="I205" s="511"/>
      <c r="J205" s="511"/>
      <c r="K205" s="511"/>
      <c r="O205" s="511"/>
      <c r="P205" s="511"/>
      <c r="Q205" s="511"/>
      <c r="R205" s="511"/>
      <c r="S205" s="511"/>
      <c r="T205" s="511"/>
      <c r="U205" s="511"/>
      <c r="V205" s="511"/>
    </row>
    <row r="206" spans="1:22">
      <c r="C206" s="511"/>
      <c r="D206" s="511"/>
      <c r="E206" s="511"/>
      <c r="F206" s="511"/>
      <c r="G206" s="511"/>
      <c r="H206" s="511"/>
      <c r="I206" s="511"/>
      <c r="J206" s="511"/>
      <c r="K206" s="511"/>
      <c r="O206" s="511"/>
      <c r="P206" s="511"/>
      <c r="Q206" s="511"/>
      <c r="R206" s="511"/>
      <c r="S206" s="511"/>
      <c r="T206" s="511"/>
      <c r="U206" s="511"/>
      <c r="V206" s="511"/>
    </row>
    <row r="207" spans="1:22">
      <c r="C207" s="511" t="s">
        <v>52</v>
      </c>
      <c r="D207" s="511"/>
      <c r="E207" s="511"/>
      <c r="F207" s="511"/>
      <c r="G207" s="511"/>
      <c r="H207" s="511"/>
      <c r="I207" s="511"/>
      <c r="J207" s="511"/>
      <c r="K207" s="511"/>
      <c r="O207" s="511" t="s">
        <v>52</v>
      </c>
      <c r="P207" s="511"/>
      <c r="Q207" s="511"/>
      <c r="R207" s="511"/>
      <c r="S207" s="511"/>
      <c r="T207" s="511"/>
      <c r="U207" s="511"/>
      <c r="V207" s="511"/>
    </row>
    <row r="208" spans="1:22">
      <c r="C208" s="511" t="s">
        <v>723</v>
      </c>
      <c r="D208" s="511"/>
      <c r="E208" s="511"/>
      <c r="F208" s="511"/>
      <c r="G208" s="511"/>
      <c r="H208" s="511"/>
      <c r="I208" s="511"/>
      <c r="J208" s="511"/>
      <c r="K208" s="511"/>
      <c r="O208" s="511" t="s">
        <v>53</v>
      </c>
      <c r="P208" s="511"/>
      <c r="Q208" s="511"/>
      <c r="R208" s="511"/>
      <c r="S208" s="511"/>
      <c r="T208" s="511"/>
      <c r="U208" s="511"/>
      <c r="V208" s="511"/>
    </row>
    <row r="209" spans="3:22">
      <c r="C209" s="511" t="s">
        <v>724</v>
      </c>
      <c r="D209" s="511"/>
      <c r="E209" s="511"/>
      <c r="F209" s="511"/>
      <c r="G209" s="511"/>
      <c r="H209" s="511"/>
      <c r="I209" s="511"/>
      <c r="J209" s="511"/>
      <c r="K209" s="511"/>
      <c r="O209" s="511" t="s">
        <v>54</v>
      </c>
      <c r="P209" s="511"/>
      <c r="Q209" s="511"/>
      <c r="R209" s="511"/>
      <c r="S209" s="511"/>
      <c r="T209" s="511"/>
      <c r="U209" s="511"/>
      <c r="V209" s="511"/>
    </row>
  </sheetData>
  <mergeCells count="283">
    <mergeCell ref="S5:V5"/>
    <mergeCell ref="C137:U137"/>
    <mergeCell ref="C119:W119"/>
    <mergeCell ref="K133:Q133"/>
    <mergeCell ref="K134:Q134"/>
    <mergeCell ref="K135:Q135"/>
    <mergeCell ref="K136:Q136"/>
    <mergeCell ref="K126:Q126"/>
    <mergeCell ref="D125:I126"/>
    <mergeCell ref="K125:U125"/>
    <mergeCell ref="C125:C126"/>
    <mergeCell ref="K127:Q127"/>
    <mergeCell ref="K128:Q128"/>
    <mergeCell ref="K129:Q129"/>
    <mergeCell ref="K130:Q130"/>
    <mergeCell ref="K131:Q131"/>
    <mergeCell ref="K132:Q132"/>
    <mergeCell ref="C26:O26"/>
    <mergeCell ref="V35:W37"/>
    <mergeCell ref="R35:S37"/>
    <mergeCell ref="T35:U37"/>
    <mergeCell ref="K13:L13"/>
    <mergeCell ref="C12:C14"/>
    <mergeCell ref="D13:D14"/>
    <mergeCell ref="A1:U1"/>
    <mergeCell ref="A2:U2"/>
    <mergeCell ref="N12:O13"/>
    <mergeCell ref="P12:P13"/>
    <mergeCell ref="M13:M14"/>
    <mergeCell ref="D12:M12"/>
    <mergeCell ref="E71:H71"/>
    <mergeCell ref="E72:H72"/>
    <mergeCell ref="E73:H73"/>
    <mergeCell ref="C60:V60"/>
    <mergeCell ref="M66:O66"/>
    <mergeCell ref="M67:M68"/>
    <mergeCell ref="N67:N68"/>
    <mergeCell ref="O67:O68"/>
    <mergeCell ref="P66:R66"/>
    <mergeCell ref="R67:R68"/>
    <mergeCell ref="S66:T66"/>
    <mergeCell ref="S67:S68"/>
    <mergeCell ref="Q67:Q68"/>
    <mergeCell ref="U66:U68"/>
    <mergeCell ref="P67:P68"/>
    <mergeCell ref="T67:T68"/>
    <mergeCell ref="E69:H69"/>
    <mergeCell ref="E70:H70"/>
    <mergeCell ref="E13:E14"/>
    <mergeCell ref="F13:F14"/>
    <mergeCell ref="G13:G14"/>
    <mergeCell ref="D27:J27"/>
    <mergeCell ref="D28:J28"/>
    <mergeCell ref="D29:J29"/>
    <mergeCell ref="C30:O30"/>
    <mergeCell ref="C34:C38"/>
    <mergeCell ref="D34:N34"/>
    <mergeCell ref="O34:S34"/>
    <mergeCell ref="T34:W34"/>
    <mergeCell ref="L27:O27"/>
    <mergeCell ref="L28:O28"/>
    <mergeCell ref="L29:O29"/>
    <mergeCell ref="X34:X38"/>
    <mergeCell ref="D35:D38"/>
    <mergeCell ref="E35:J38"/>
    <mergeCell ref="K35:K38"/>
    <mergeCell ref="L35:L37"/>
    <mergeCell ref="E39:J39"/>
    <mergeCell ref="E40:J40"/>
    <mergeCell ref="E41:J41"/>
    <mergeCell ref="E42:J42"/>
    <mergeCell ref="E43:J43"/>
    <mergeCell ref="M35:M37"/>
    <mergeCell ref="N35:N37"/>
    <mergeCell ref="O35:P37"/>
    <mergeCell ref="Q35:Q38"/>
    <mergeCell ref="E79:H79"/>
    <mergeCell ref="E44:J44"/>
    <mergeCell ref="E45:J45"/>
    <mergeCell ref="C46:W46"/>
    <mergeCell ref="C49:C51"/>
    <mergeCell ref="D49:D51"/>
    <mergeCell ref="E49:H51"/>
    <mergeCell ref="I49:I51"/>
    <mergeCell ref="J49:J50"/>
    <mergeCell ref="K49:K51"/>
    <mergeCell ref="L49:L51"/>
    <mergeCell ref="M49:M51"/>
    <mergeCell ref="Q50:R50"/>
    <mergeCell ref="S50:U50"/>
    <mergeCell ref="N49:N51"/>
    <mergeCell ref="O49:P49"/>
    <mergeCell ref="Q49:V49"/>
    <mergeCell ref="V50:V51"/>
    <mergeCell ref="W49:W51"/>
    <mergeCell ref="O50:O51"/>
    <mergeCell ref="P50:P51"/>
    <mergeCell ref="C98:C101"/>
    <mergeCell ref="D98:G101"/>
    <mergeCell ref="H98:H101"/>
    <mergeCell ref="I98:I101"/>
    <mergeCell ref="J98:Q98"/>
    <mergeCell ref="C84:C88"/>
    <mergeCell ref="D84:N84"/>
    <mergeCell ref="D85:D88"/>
    <mergeCell ref="E85:K88"/>
    <mergeCell ref="O84:Q84"/>
    <mergeCell ref="O85:P87"/>
    <mergeCell ref="L85:L88"/>
    <mergeCell ref="M85:M87"/>
    <mergeCell ref="N85:N87"/>
    <mergeCell ref="Q85:Q88"/>
    <mergeCell ref="C94:S94"/>
    <mergeCell ref="E52:H52"/>
    <mergeCell ref="E53:H53"/>
    <mergeCell ref="E58:H58"/>
    <mergeCell ref="E59:H59"/>
    <mergeCell ref="E89:K89"/>
    <mergeCell ref="E90:K90"/>
    <mergeCell ref="E91:K91"/>
    <mergeCell ref="E92:K92"/>
    <mergeCell ref="E54:H54"/>
    <mergeCell ref="E55:H55"/>
    <mergeCell ref="E56:H56"/>
    <mergeCell ref="E57:H57"/>
    <mergeCell ref="E80:H80"/>
    <mergeCell ref="C81:T81"/>
    <mergeCell ref="R84:S87"/>
    <mergeCell ref="T84:T88"/>
    <mergeCell ref="C66:C68"/>
    <mergeCell ref="D66:D68"/>
    <mergeCell ref="E66:H68"/>
    <mergeCell ref="I66:I68"/>
    <mergeCell ref="J66:J67"/>
    <mergeCell ref="K66:K68"/>
    <mergeCell ref="L66:L68"/>
    <mergeCell ref="E74:H74"/>
    <mergeCell ref="D103:G103"/>
    <mergeCell ref="D104:G104"/>
    <mergeCell ref="D105:G105"/>
    <mergeCell ref="D106:G106"/>
    <mergeCell ref="D107:G107"/>
    <mergeCell ref="W98:W101"/>
    <mergeCell ref="X98:X101"/>
    <mergeCell ref="J99:Q99"/>
    <mergeCell ref="J100:J101"/>
    <mergeCell ref="K100:K101"/>
    <mergeCell ref="L100:L101"/>
    <mergeCell ref="M100:M101"/>
    <mergeCell ref="N100:N101"/>
    <mergeCell ref="O100:O101"/>
    <mergeCell ref="P100:P101"/>
    <mergeCell ref="R98:V99"/>
    <mergeCell ref="Q100:Q101"/>
    <mergeCell ref="R100:V100"/>
    <mergeCell ref="D102:G102"/>
    <mergeCell ref="C108:W108"/>
    <mergeCell ref="C111:C112"/>
    <mergeCell ref="X111:X112"/>
    <mergeCell ref="S112:T112"/>
    <mergeCell ref="M113:N113"/>
    <mergeCell ref="M114:N114"/>
    <mergeCell ref="P113:Q113"/>
    <mergeCell ref="P114:Q114"/>
    <mergeCell ref="K113:L113"/>
    <mergeCell ref="D113:J113"/>
    <mergeCell ref="D114:J114"/>
    <mergeCell ref="K114:L114"/>
    <mergeCell ref="M111:W111"/>
    <mergeCell ref="M112:N112"/>
    <mergeCell ref="P112:Q112"/>
    <mergeCell ref="D111:J112"/>
    <mergeCell ref="K111:L112"/>
    <mergeCell ref="M115:N115"/>
    <mergeCell ref="M116:N116"/>
    <mergeCell ref="P115:Q115"/>
    <mergeCell ref="P116:Q116"/>
    <mergeCell ref="D115:J115"/>
    <mergeCell ref="D116:J116"/>
    <mergeCell ref="V125:V126"/>
    <mergeCell ref="M117:N117"/>
    <mergeCell ref="M118:N118"/>
    <mergeCell ref="P117:Q117"/>
    <mergeCell ref="P118:Q118"/>
    <mergeCell ref="J125:J126"/>
    <mergeCell ref="D117:J117"/>
    <mergeCell ref="D118:J118"/>
    <mergeCell ref="K115:L115"/>
    <mergeCell ref="K116:L116"/>
    <mergeCell ref="K117:L117"/>
    <mergeCell ref="K118:L118"/>
    <mergeCell ref="U141:U144"/>
    <mergeCell ref="M143:M144"/>
    <mergeCell ref="N143:N144"/>
    <mergeCell ref="O143:O144"/>
    <mergeCell ref="P143:P144"/>
    <mergeCell ref="Q143:Q144"/>
    <mergeCell ref="R143:R144"/>
    <mergeCell ref="S143:S144"/>
    <mergeCell ref="C141:C144"/>
    <mergeCell ref="D141:G144"/>
    <mergeCell ref="H141:H144"/>
    <mergeCell ref="I141:I144"/>
    <mergeCell ref="J141:K144"/>
    <mergeCell ref="D148:G148"/>
    <mergeCell ref="J148:K148"/>
    <mergeCell ref="D149:G149"/>
    <mergeCell ref="J149:K149"/>
    <mergeCell ref="D150:G150"/>
    <mergeCell ref="J150:K150"/>
    <mergeCell ref="T143:T144"/>
    <mergeCell ref="D145:G145"/>
    <mergeCell ref="J145:K145"/>
    <mergeCell ref="D146:G146"/>
    <mergeCell ref="J146:K146"/>
    <mergeCell ref="D147:G147"/>
    <mergeCell ref="J147:K147"/>
    <mergeCell ref="L141:L144"/>
    <mergeCell ref="M141:T142"/>
    <mergeCell ref="C165:T165"/>
    <mergeCell ref="C168:C169"/>
    <mergeCell ref="D168:O168"/>
    <mergeCell ref="P168:W168"/>
    <mergeCell ref="X168:X169"/>
    <mergeCell ref="D169:E169"/>
    <mergeCell ref="G169:L169"/>
    <mergeCell ref="M169:O169"/>
    <mergeCell ref="C151:T151"/>
    <mergeCell ref="C155:C157"/>
    <mergeCell ref="D155:J157"/>
    <mergeCell ref="K155:S155"/>
    <mergeCell ref="T155:T157"/>
    <mergeCell ref="U155:U157"/>
    <mergeCell ref="K156:M156"/>
    <mergeCell ref="N156:P156"/>
    <mergeCell ref="Q156:S156"/>
    <mergeCell ref="C208:K208"/>
    <mergeCell ref="O208:V208"/>
    <mergeCell ref="C209:K209"/>
    <mergeCell ref="O209:V209"/>
    <mergeCell ref="O199:V199"/>
    <mergeCell ref="O203:V204"/>
    <mergeCell ref="C204:N204"/>
    <mergeCell ref="C205:K206"/>
    <mergeCell ref="O205:V206"/>
    <mergeCell ref="C207:K207"/>
    <mergeCell ref="O207:V207"/>
    <mergeCell ref="J201:N201"/>
    <mergeCell ref="O196:V197"/>
    <mergeCell ref="G198:N198"/>
    <mergeCell ref="O198:V198"/>
    <mergeCell ref="D189:L189"/>
    <mergeCell ref="O189:V192"/>
    <mergeCell ref="D190:L190"/>
    <mergeCell ref="D191:L191"/>
    <mergeCell ref="D192:L192"/>
    <mergeCell ref="C193:L193"/>
    <mergeCell ref="D181:L181"/>
    <mergeCell ref="C182:L182"/>
    <mergeCell ref="D186:L186"/>
    <mergeCell ref="D187:L187"/>
    <mergeCell ref="O187:W187"/>
    <mergeCell ref="D188:L188"/>
    <mergeCell ref="O188:W188"/>
    <mergeCell ref="O195:V195"/>
    <mergeCell ref="D174:E174"/>
    <mergeCell ref="G174:L174"/>
    <mergeCell ref="M174:O174"/>
    <mergeCell ref="C175:W175"/>
    <mergeCell ref="D179:L179"/>
    <mergeCell ref="D180:L180"/>
    <mergeCell ref="D172:E172"/>
    <mergeCell ref="G172:L172"/>
    <mergeCell ref="M172:O172"/>
    <mergeCell ref="D173:E173"/>
    <mergeCell ref="G173:L173"/>
    <mergeCell ref="M173:O173"/>
    <mergeCell ref="D170:E170"/>
    <mergeCell ref="G170:L170"/>
    <mergeCell ref="M170:O170"/>
    <mergeCell ref="D171:E171"/>
    <mergeCell ref="G171:L171"/>
    <mergeCell ref="M171:O171"/>
  </mergeCells>
  <phoneticPr fontId="23" type="noConversion"/>
  <conditionalFormatting sqref="D187:L187">
    <cfRule type="cellIs" dxfId="1" priority="1" operator="notEqual">
      <formula>"""ภาระงานสอน"""</formula>
    </cfRule>
  </conditionalFormatting>
  <dataValidations count="15">
    <dataValidation type="list" allowBlank="1" showInputMessage="1" showErrorMessage="1" sqref="I6:L6">
      <formula1>ตำแหน่งวิชาการ</formula1>
    </dataValidation>
    <dataValidation type="list" allowBlank="1" showInputMessage="1" showErrorMessage="1" sqref="K27:K29 I203 J102:W107 K158:S164 P170:W174 D195:D198 M42:M45 S127:S136 M145:T150 E203 N89:N93">
      <formula1>"ü"</formula1>
    </dataValidation>
    <dataValidation type="list" allowBlank="1" showInputMessage="1" showErrorMessage="1" sqref="N42:N45 I25">
      <formula1>"มี,ไม่มี"</formula1>
    </dataValidation>
    <dataValidation type="list" allowBlank="1" showInputMessage="1" showErrorMessage="1" sqref="J25">
      <formula1>"ใช่,ไม่ใช่"</formula1>
    </dataValidation>
    <dataValidation type="list" allowBlank="1" showInputMessage="1" showErrorMessage="1" sqref="M52:N59">
      <formula1>"หลัก,ร่วม"</formula1>
    </dataValidation>
    <dataValidation type="list" allowBlank="1" showInputMessage="1" showErrorMessage="1" sqref="BC125:BC136 K127:K136">
      <formula1>บริการวิชาการ</formula1>
    </dataValidation>
    <dataValidation type="list" allowBlank="1" showInputMessage="1" showErrorMessage="1" sqref="M39:N41 I15:J24">
      <formula1>"Yes,No"</formula1>
    </dataValidation>
    <dataValidation type="list" allowBlank="1" showInputMessage="1" showErrorMessage="1" sqref="M69:M80">
      <formula1>"Main,Co"</formula1>
    </dataValidation>
    <dataValidation type="list" allowBlank="1" showInputMessage="1" showErrorMessage="1" sqref="N69:N80 P69:Q80">
      <formula1>"IS,Thesis,Dissertation"</formula1>
    </dataValidation>
    <dataValidation type="list" allowBlank="1" showInputMessage="1" showErrorMessage="1" sqref="M113:N118">
      <formula1>$BI$113:$BI$121</formula1>
    </dataValidation>
    <dataValidation type="list" allowBlank="1" showInputMessage="1" showErrorMessage="1" sqref="P113:Q118">
      <formula1>$BL$113:$BL$119</formula1>
    </dataValidation>
    <dataValidation type="list" allowBlank="1" showInputMessage="1" showErrorMessage="1" sqref="S113:S118">
      <formula1>"National,International"</formula1>
    </dataValidation>
    <dataValidation type="list" allowBlank="1" showInputMessage="1" showErrorMessage="1" sqref="T113:T118">
      <formula1>"First Author/Corresponding,Other"</formula1>
    </dataValidation>
    <dataValidation type="list" allowBlank="1" showInputMessage="1" showErrorMessage="1" sqref="V113:V118">
      <formula1>"petty patented,Patented,National reward,International reward"</formula1>
    </dataValidation>
    <dataValidation type="list" allowBlank="1" showInputMessage="1" showErrorMessage="1" sqref="T127:T136">
      <formula1>"Project Team,Participant"</formula1>
    </dataValidation>
  </dataValidations>
  <printOptions horizontalCentered="1"/>
  <pageMargins left="0.15748031496062992" right="0.15748031496062992" top="0.35433070866141736" bottom="0.31496062992125984" header="0.15748031496062992" footer="0.15748031496062992"/>
  <pageSetup paperSize="9" scale="78" fitToHeight="6" orientation="landscape" r:id="rId1"/>
  <headerFooter>
    <oddHeader>&amp;R&amp;P</oddHeader>
    <oddFooter>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'Workload calcutation'!$R$4:$R$15</xm:f>
          </x14:formula1>
          <xm:sqref>S6:V6</xm:sqref>
        </x14:dataValidation>
        <x14:dataValidation type="list" allowBlank="1" showInputMessage="1" showErrorMessage="1">
          <x14:formula1>
            <xm:f>'Workload calcutation'!$R$18:$R$20</xm:f>
          </x14:formula1>
          <xm:sqref>D15:D25</xm:sqref>
        </x14:dataValidation>
        <x14:dataValidation type="list" allowBlank="1" showInputMessage="1" showErrorMessage="1">
          <x14:formula1>
            <xm:f>'Workload calcutation'!$M$4:$M$33</xm:f>
          </x14:formula1>
          <xm:sqref>S5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209"/>
  <sheetViews>
    <sheetView topLeftCell="A190" zoomScaleNormal="100" workbookViewId="0">
      <selection activeCell="Y201" sqref="Y201"/>
    </sheetView>
  </sheetViews>
  <sheetFormatPr defaultColWidth="9.125" defaultRowHeight="12.75"/>
  <cols>
    <col min="1" max="1" width="3" style="1" customWidth="1"/>
    <col min="2" max="2" width="1.75" style="1" customWidth="1"/>
    <col min="3" max="3" width="5" style="1" customWidth="1"/>
    <col min="4" max="4" width="9" style="1" customWidth="1"/>
    <col min="5" max="5" width="7.625" style="1" customWidth="1"/>
    <col min="6" max="6" width="15.25" style="1" customWidth="1"/>
    <col min="7" max="7" width="6.375" style="1" customWidth="1"/>
    <col min="8" max="8" width="8.25" style="1" customWidth="1"/>
    <col min="9" max="10" width="7.25" style="1" customWidth="1"/>
    <col min="11" max="11" width="7.125" style="1" customWidth="1"/>
    <col min="12" max="12" width="8.375" style="1" customWidth="1"/>
    <col min="13" max="13" width="6.625" style="1" customWidth="1"/>
    <col min="14" max="14" width="7.125" style="1" customWidth="1"/>
    <col min="15" max="15" width="7.75" style="1" customWidth="1"/>
    <col min="16" max="16" width="10.25" style="1" customWidth="1"/>
    <col min="17" max="17" width="11" style="1" customWidth="1"/>
    <col min="18" max="18" width="6.25" style="1" customWidth="1"/>
    <col min="19" max="19" width="7.625" style="1" customWidth="1"/>
    <col min="20" max="21" width="7.25" style="1" customWidth="1"/>
    <col min="22" max="23" width="7.375" style="1" customWidth="1"/>
    <col min="24" max="24" width="7" style="1" customWidth="1"/>
    <col min="25" max="25" width="6.875" style="1" customWidth="1"/>
    <col min="26" max="41" width="6.75" style="1" customWidth="1"/>
    <col min="42" max="51" width="2.625" style="1" customWidth="1"/>
    <col min="52" max="55" width="9.125" style="1" hidden="1" customWidth="1"/>
    <col min="56" max="56" width="6" style="1" hidden="1" customWidth="1"/>
    <col min="57" max="57" width="4.625" style="1" hidden="1" customWidth="1"/>
    <col min="58" max="59" width="5.125" style="1" hidden="1" customWidth="1"/>
    <col min="60" max="60" width="6.875" style="1" hidden="1" customWidth="1"/>
    <col min="61" max="64" width="9.125" style="1" hidden="1" customWidth="1"/>
    <col min="65" max="16384" width="9.125" style="1"/>
  </cols>
  <sheetData>
    <row r="1" spans="1:63">
      <c r="A1" s="695" t="s">
        <v>543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63" ht="13.5" thickBot="1">
      <c r="A2" s="695" t="s">
        <v>544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</row>
    <row r="3" spans="1:63" ht="13.5" thickBot="1">
      <c r="A3" s="2"/>
      <c r="F3" s="50"/>
      <c r="G3" s="1" t="s">
        <v>545</v>
      </c>
      <c r="K3" s="50"/>
      <c r="L3" s="1" t="s">
        <v>546</v>
      </c>
      <c r="P3" s="1" t="s">
        <v>547</v>
      </c>
      <c r="R3" s="51"/>
    </row>
    <row r="5" spans="1:63">
      <c r="D5" s="7" t="s">
        <v>548</v>
      </c>
      <c r="I5" s="741"/>
      <c r="J5" s="714"/>
      <c r="K5" s="714"/>
      <c r="L5" s="714"/>
      <c r="M5" s="7"/>
      <c r="N5" s="7" t="s">
        <v>552</v>
      </c>
      <c r="O5" s="7"/>
      <c r="P5" s="7"/>
      <c r="Q5" s="7"/>
      <c r="R5" s="7"/>
      <c r="S5" s="714"/>
      <c r="T5" s="714"/>
      <c r="U5" s="714"/>
      <c r="V5" s="714"/>
    </row>
    <row r="6" spans="1:63">
      <c r="D6" s="7" t="s">
        <v>549</v>
      </c>
      <c r="I6" s="742"/>
      <c r="J6" s="742"/>
      <c r="K6" s="742"/>
      <c r="L6" s="742"/>
      <c r="M6" s="7"/>
      <c r="N6" s="7" t="s">
        <v>553</v>
      </c>
      <c r="O6" s="7"/>
      <c r="P6" s="7"/>
      <c r="Q6" s="7"/>
      <c r="R6" s="7"/>
      <c r="S6" s="742"/>
      <c r="T6" s="742"/>
      <c r="U6" s="742"/>
      <c r="V6" s="742"/>
    </row>
    <row r="7" spans="1:63">
      <c r="D7" s="7" t="s">
        <v>550</v>
      </c>
      <c r="I7" s="158"/>
      <c r="J7" s="158"/>
      <c r="K7" s="158"/>
      <c r="L7" s="158"/>
      <c r="N7" s="1" t="s">
        <v>554</v>
      </c>
      <c r="S7" s="743"/>
      <c r="T7" s="743"/>
      <c r="U7" s="743"/>
      <c r="V7" s="743"/>
    </row>
    <row r="8" spans="1:63">
      <c r="D8" s="7" t="s">
        <v>551</v>
      </c>
      <c r="I8" s="742"/>
      <c r="J8" s="742"/>
      <c r="K8" s="742"/>
      <c r="L8" s="742"/>
    </row>
    <row r="10" spans="1:63">
      <c r="A10" s="3" t="s">
        <v>558</v>
      </c>
    </row>
    <row r="11" spans="1:63">
      <c r="B11" s="4" t="s">
        <v>559</v>
      </c>
    </row>
    <row r="12" spans="1:63" ht="14.25" customHeight="1">
      <c r="C12" s="525" t="s">
        <v>374</v>
      </c>
      <c r="D12" s="517" t="s">
        <v>118</v>
      </c>
      <c r="E12" s="518"/>
      <c r="F12" s="518"/>
      <c r="G12" s="518"/>
      <c r="H12" s="518"/>
      <c r="I12" s="518"/>
      <c r="J12" s="518"/>
      <c r="K12" s="518"/>
      <c r="L12" s="518"/>
      <c r="M12" s="519"/>
      <c r="N12" s="696" t="s">
        <v>580</v>
      </c>
      <c r="O12" s="697"/>
      <c r="P12" s="700" t="s">
        <v>581</v>
      </c>
    </row>
    <row r="13" spans="1:63" ht="76.5" customHeight="1">
      <c r="C13" s="526"/>
      <c r="D13" s="731" t="s">
        <v>560</v>
      </c>
      <c r="E13" s="524" t="s">
        <v>561</v>
      </c>
      <c r="F13" s="509" t="s">
        <v>562</v>
      </c>
      <c r="G13" s="509" t="s">
        <v>563</v>
      </c>
      <c r="H13" s="43" t="s">
        <v>564</v>
      </c>
      <c r="I13" s="208" t="s">
        <v>801</v>
      </c>
      <c r="J13" s="140" t="s">
        <v>565</v>
      </c>
      <c r="K13" s="729" t="s">
        <v>578</v>
      </c>
      <c r="L13" s="730"/>
      <c r="M13" s="702" t="s">
        <v>376</v>
      </c>
      <c r="N13" s="698"/>
      <c r="O13" s="699"/>
      <c r="P13" s="701"/>
      <c r="BC13" s="106" t="s">
        <v>120</v>
      </c>
      <c r="BE13" s="1" t="s">
        <v>321</v>
      </c>
      <c r="BF13" s="1" t="s">
        <v>322</v>
      </c>
      <c r="BG13" s="1" t="s">
        <v>323</v>
      </c>
      <c r="BI13" s="1" t="s">
        <v>321</v>
      </c>
      <c r="BJ13" s="1" t="s">
        <v>322</v>
      </c>
      <c r="BK13" s="1" t="s">
        <v>323</v>
      </c>
    </row>
    <row r="14" spans="1:63" ht="24.75" customHeight="1">
      <c r="C14" s="556"/>
      <c r="D14" s="731"/>
      <c r="E14" s="524"/>
      <c r="F14" s="509"/>
      <c r="G14" s="509"/>
      <c r="H14" s="121" t="s">
        <v>319</v>
      </c>
      <c r="I14" s="209" t="s">
        <v>566</v>
      </c>
      <c r="J14" s="209" t="s">
        <v>566</v>
      </c>
      <c r="K14" s="121" t="s">
        <v>366</v>
      </c>
      <c r="L14" s="121" t="s">
        <v>579</v>
      </c>
      <c r="M14" s="703"/>
      <c r="N14" s="210" t="s">
        <v>366</v>
      </c>
      <c r="O14" s="210" t="s">
        <v>579</v>
      </c>
      <c r="P14" s="112"/>
      <c r="BC14" s="36"/>
      <c r="BE14" s="1" t="s">
        <v>249</v>
      </c>
      <c r="BF14" s="1" t="s">
        <v>249</v>
      </c>
      <c r="BG14" s="1" t="s">
        <v>249</v>
      </c>
    </row>
    <row r="15" spans="1:63">
      <c r="C15" s="12">
        <v>1</v>
      </c>
      <c r="D15" s="222"/>
      <c r="E15" s="5"/>
      <c r="F15" s="12"/>
      <c r="G15" s="5"/>
      <c r="H15" s="5"/>
      <c r="I15" s="102"/>
      <c r="J15" s="102"/>
      <c r="K15" s="12"/>
      <c r="L15" s="12"/>
      <c r="M15" s="12"/>
      <c r="N15" s="114">
        <f t="shared" ref="N15:N25" si="0">+IF(K15="",0,IF(D15="Undergraduate",BE15,IF(D15="Master",BF15,BG15)))</f>
        <v>0</v>
      </c>
      <c r="O15" s="114">
        <f>+IF(L15="",0,L15/15*1.5)</f>
        <v>0</v>
      </c>
      <c r="P15" s="113">
        <f>SUM(N15:O15)</f>
        <v>0</v>
      </c>
      <c r="BC15" s="5" t="str">
        <f t="shared" ref="BC15:BC25" si="1">+LEFT(H15,1)</f>
        <v/>
      </c>
      <c r="BE15" s="1" t="e">
        <f t="shared" ref="BE15:BE25" si="2">+IF(I15="No",IF(M15&lt;=30,K15/15*2,((K15/15*2)+(M15-30)*(VLOOKUP(BC15,$BH$16:$BJ$23,2,FALSE)))),IF(M15&gt;30,K15/15*2.5,((K15/15*2.5)+(M15-30)*(VLOOKUP(BC15,$BH$24:$BJ$27,2,FALSE)))))</f>
        <v>#N/A</v>
      </c>
      <c r="BF15" s="1" t="e">
        <f t="shared" ref="BF15:BF25" si="3">+IF(I15="No",IF(M15&lt;=30,K15/15*3,((K15/15*3)+(M15-30)*(VLOOKUP(BC15,$BH$16:$BJ$23,3,FALSE)))),IF(M15&gt;30,K15/15*3.5,((K15/15*3.5)+(M15-30)*(VLOOKUP(BC15,$BH$24:$BJ$27,3,FALSE)))))</f>
        <v>#N/A</v>
      </c>
      <c r="BG15" s="1" t="e">
        <f t="shared" ref="BG15:BG25" si="4">+IF(I15="No",IF(M15&lt;=30,K15/15*4,((K15/15*4)+(M15-30)*(VLOOKUP(BC15,$BH$16:$BK$23,4,FALSE)))),IF(M15&gt;30,K15/15*4.5,((K15/15*4.5)+(M15-30)*(VLOOKUP(BC15,$BH$24:$BK$27,4,FALSE)))))</f>
        <v>#N/A</v>
      </c>
    </row>
    <row r="16" spans="1:63">
      <c r="C16" s="12">
        <v>2</v>
      </c>
      <c r="D16" s="222"/>
      <c r="E16" s="5"/>
      <c r="F16" s="12"/>
      <c r="G16" s="5"/>
      <c r="H16" s="5"/>
      <c r="I16" s="102"/>
      <c r="J16" s="102"/>
      <c r="K16" s="12"/>
      <c r="L16" s="12"/>
      <c r="M16" s="12"/>
      <c r="N16" s="114">
        <f t="shared" si="0"/>
        <v>0</v>
      </c>
      <c r="O16" s="114">
        <f t="shared" ref="O16:O25" si="5">+IF(L16="",0,L16/15*1.5)</f>
        <v>0</v>
      </c>
      <c r="P16" s="113">
        <f t="shared" ref="P16:P25" si="6">SUM(N16:O16)</f>
        <v>0</v>
      </c>
      <c r="BC16" s="5" t="str">
        <f t="shared" si="1"/>
        <v/>
      </c>
      <c r="BE16" s="1" t="e">
        <f t="shared" si="2"/>
        <v>#N/A</v>
      </c>
      <c r="BF16" s="1" t="e">
        <f t="shared" si="3"/>
        <v>#N/A</v>
      </c>
      <c r="BG16" s="1" t="e">
        <f t="shared" si="4"/>
        <v>#N/A</v>
      </c>
      <c r="BH16" s="107" t="str">
        <f>+LEFT(BC27,1)</f>
        <v>1</v>
      </c>
      <c r="BI16" s="107">
        <v>0.02</v>
      </c>
      <c r="BJ16" s="107">
        <v>0.03</v>
      </c>
      <c r="BK16" s="107">
        <v>0.04</v>
      </c>
    </row>
    <row r="17" spans="3:63">
      <c r="C17" s="12">
        <v>3</v>
      </c>
      <c r="D17" s="222"/>
      <c r="E17" s="5"/>
      <c r="F17" s="12"/>
      <c r="G17" s="5"/>
      <c r="H17" s="5"/>
      <c r="I17" s="102"/>
      <c r="J17" s="102"/>
      <c r="K17" s="12"/>
      <c r="L17" s="12"/>
      <c r="M17" s="12"/>
      <c r="N17" s="114">
        <f t="shared" si="0"/>
        <v>0</v>
      </c>
      <c r="O17" s="114">
        <f t="shared" si="5"/>
        <v>0</v>
      </c>
      <c r="P17" s="113">
        <f t="shared" si="6"/>
        <v>0</v>
      </c>
      <c r="BC17" s="5" t="str">
        <f t="shared" si="1"/>
        <v/>
      </c>
      <c r="BE17" s="1" t="e">
        <f t="shared" si="2"/>
        <v>#N/A</v>
      </c>
      <c r="BF17" s="1" t="e">
        <f t="shared" si="3"/>
        <v>#N/A</v>
      </c>
      <c r="BG17" s="1" t="e">
        <f t="shared" si="4"/>
        <v>#N/A</v>
      </c>
      <c r="BH17" s="107" t="str">
        <f>+LEFT(BC28,1)</f>
        <v>2</v>
      </c>
      <c r="BI17" s="107">
        <v>0.04</v>
      </c>
      <c r="BJ17" s="107">
        <v>7.0000000000000007E-2</v>
      </c>
      <c r="BK17" s="107">
        <v>0.09</v>
      </c>
    </row>
    <row r="18" spans="3:63">
      <c r="C18" s="12">
        <v>4</v>
      </c>
      <c r="D18" s="222"/>
      <c r="E18" s="5"/>
      <c r="F18" s="12"/>
      <c r="G18" s="5"/>
      <c r="H18" s="5"/>
      <c r="I18" s="102"/>
      <c r="J18" s="102"/>
      <c r="K18" s="12"/>
      <c r="L18" s="12"/>
      <c r="M18" s="12"/>
      <c r="N18" s="114">
        <f t="shared" si="0"/>
        <v>0</v>
      </c>
      <c r="O18" s="114">
        <f t="shared" si="5"/>
        <v>0</v>
      </c>
      <c r="P18" s="113">
        <f t="shared" si="6"/>
        <v>0</v>
      </c>
      <c r="BC18" s="5" t="str">
        <f t="shared" si="1"/>
        <v/>
      </c>
      <c r="BE18" s="1" t="e">
        <f t="shared" si="2"/>
        <v>#N/A</v>
      </c>
      <c r="BF18" s="1" t="e">
        <f t="shared" si="3"/>
        <v>#N/A</v>
      </c>
      <c r="BG18" s="1" t="e">
        <f t="shared" si="4"/>
        <v>#N/A</v>
      </c>
      <c r="BH18" s="107" t="str">
        <f>+LEFT(BC29,1)</f>
        <v>3</v>
      </c>
      <c r="BI18" s="107">
        <v>0.06</v>
      </c>
      <c r="BJ18" s="109">
        <v>0.1</v>
      </c>
      <c r="BK18" s="107">
        <v>0.13</v>
      </c>
    </row>
    <row r="19" spans="3:63">
      <c r="C19" s="12"/>
      <c r="D19" s="222"/>
      <c r="E19" s="5"/>
      <c r="F19" s="12"/>
      <c r="G19" s="5"/>
      <c r="H19" s="5"/>
      <c r="I19" s="102"/>
      <c r="J19" s="102"/>
      <c r="K19" s="12"/>
      <c r="L19" s="12"/>
      <c r="M19" s="12"/>
      <c r="N19" s="114">
        <f t="shared" si="0"/>
        <v>0</v>
      </c>
      <c r="O19" s="114">
        <f t="shared" si="5"/>
        <v>0</v>
      </c>
      <c r="P19" s="113">
        <f t="shared" si="6"/>
        <v>0</v>
      </c>
      <c r="BC19" s="5" t="str">
        <f t="shared" si="1"/>
        <v/>
      </c>
      <c r="BE19" s="1" t="e">
        <f t="shared" si="2"/>
        <v>#N/A</v>
      </c>
      <c r="BF19" s="1" t="e">
        <f t="shared" si="3"/>
        <v>#N/A</v>
      </c>
      <c r="BG19" s="1" t="e">
        <f t="shared" si="4"/>
        <v>#N/A</v>
      </c>
      <c r="BH19" s="107" t="str">
        <f t="shared" ref="BH19" si="7">+LEFT(BC26,1)</f>
        <v/>
      </c>
      <c r="BI19" s="107">
        <v>0.08</v>
      </c>
      <c r="BJ19" s="107">
        <v>0.13</v>
      </c>
      <c r="BK19" s="107">
        <v>0.17</v>
      </c>
    </row>
    <row r="20" spans="3:63">
      <c r="C20" s="12"/>
      <c r="D20" s="222"/>
      <c r="E20" s="5"/>
      <c r="F20" s="12"/>
      <c r="G20" s="5"/>
      <c r="H20" s="5"/>
      <c r="I20" s="102"/>
      <c r="J20" s="102"/>
      <c r="K20" s="12"/>
      <c r="L20" s="12"/>
      <c r="M20" s="12"/>
      <c r="N20" s="114">
        <f t="shared" si="0"/>
        <v>0</v>
      </c>
      <c r="O20" s="114">
        <f t="shared" si="5"/>
        <v>0</v>
      </c>
      <c r="P20" s="113">
        <f t="shared" si="6"/>
        <v>0</v>
      </c>
      <c r="BC20" s="5" t="str">
        <f t="shared" si="1"/>
        <v/>
      </c>
      <c r="BE20" s="1" t="e">
        <f t="shared" si="2"/>
        <v>#N/A</v>
      </c>
      <c r="BF20" s="1" t="e">
        <f t="shared" si="3"/>
        <v>#N/A</v>
      </c>
      <c r="BG20" s="1" t="e">
        <f t="shared" si="4"/>
        <v>#N/A</v>
      </c>
      <c r="BH20" s="108" t="str">
        <f>+LEFT(BC23,1)</f>
        <v/>
      </c>
      <c r="BI20" s="108">
        <v>0.03</v>
      </c>
      <c r="BJ20" s="108">
        <v>0.04</v>
      </c>
      <c r="BK20" s="108">
        <v>0.05</v>
      </c>
    </row>
    <row r="21" spans="3:63">
      <c r="C21" s="12"/>
      <c r="D21" s="222"/>
      <c r="E21" s="5"/>
      <c r="F21" s="12"/>
      <c r="G21" s="5"/>
      <c r="H21" s="5"/>
      <c r="I21" s="102"/>
      <c r="J21" s="102"/>
      <c r="K21" s="12"/>
      <c r="L21" s="12"/>
      <c r="M21" s="12"/>
      <c r="N21" s="114">
        <f t="shared" ref="N21:N22" si="8">+IF(K21="",0,IF(D21="Undergraduate",BE21,IF(D21="Master",BF21,BG21)))</f>
        <v>0</v>
      </c>
      <c r="O21" s="114">
        <f t="shared" ref="O21:O22" si="9">+IF(L21="",0,L21/15*1.5)</f>
        <v>0</v>
      </c>
      <c r="P21" s="113">
        <f t="shared" ref="P21:P22" si="10">SUM(N21:O21)</f>
        <v>0</v>
      </c>
      <c r="BC21" s="5" t="str">
        <f t="shared" ref="BC21:BC22" si="11">+LEFT(H21,1)</f>
        <v/>
      </c>
      <c r="BE21" s="1" t="e">
        <f t="shared" ref="BE21:BE22" si="12">+IF(I21="No",IF(M21&lt;=30,K21/15*2,((K21/15*2)+(M21-30)*(VLOOKUP(BC21,$BH$16:$BJ$23,2,FALSE)))),IF(M21&gt;30,K21/15*2.5,((K21/15*2.5)+(M21-30)*(VLOOKUP(BC21,$BH$24:$BJ$27,2,FALSE)))))</f>
        <v>#N/A</v>
      </c>
      <c r="BF21" s="1" t="e">
        <f t="shared" ref="BF21:BF22" si="13">+IF(I21="No",IF(M21&lt;=30,K21/15*3,((K21/15*3)+(M21-30)*(VLOOKUP(BC21,$BH$16:$BJ$23,3,FALSE)))),IF(M21&gt;30,K21/15*3.5,((K21/15*3.5)+(M21-30)*(VLOOKUP(BC21,$BH$24:$BJ$27,3,FALSE)))))</f>
        <v>#N/A</v>
      </c>
      <c r="BG21" s="1" t="e">
        <f t="shared" ref="BG21:BG22" si="14">+IF(I21="No",IF(M21&lt;=30,K21/15*4,((K21/15*4)+(M21-30)*(VLOOKUP(BC21,$BH$16:$BK$23,4,FALSE)))),IF(M21&gt;30,K21/15*4.5,((K21/15*4.5)+(M21-30)*(VLOOKUP(BC21,$BH$24:$BK$27,4,FALSE)))))</f>
        <v>#N/A</v>
      </c>
      <c r="BH21" s="107" t="str">
        <f t="shared" ref="BH21" si="15">+LEFT(BC28,1)</f>
        <v>2</v>
      </c>
      <c r="BI21" s="107">
        <v>0.08</v>
      </c>
      <c r="BJ21" s="107">
        <v>0.13</v>
      </c>
      <c r="BK21" s="107">
        <v>0.17</v>
      </c>
    </row>
    <row r="22" spans="3:63">
      <c r="C22" s="12"/>
      <c r="D22" s="222"/>
      <c r="E22" s="5"/>
      <c r="F22" s="12"/>
      <c r="G22" s="5"/>
      <c r="H22" s="5"/>
      <c r="I22" s="102"/>
      <c r="J22" s="102"/>
      <c r="K22" s="12"/>
      <c r="L22" s="12"/>
      <c r="M22" s="12"/>
      <c r="N22" s="114">
        <f t="shared" si="8"/>
        <v>0</v>
      </c>
      <c r="O22" s="114">
        <f t="shared" si="9"/>
        <v>0</v>
      </c>
      <c r="P22" s="113">
        <f t="shared" si="10"/>
        <v>0</v>
      </c>
      <c r="BC22" s="5" t="str">
        <f t="shared" si="11"/>
        <v/>
      </c>
      <c r="BE22" s="1" t="e">
        <f t="shared" si="12"/>
        <v>#N/A</v>
      </c>
      <c r="BF22" s="1" t="e">
        <f t="shared" si="13"/>
        <v>#N/A</v>
      </c>
      <c r="BG22" s="1" t="e">
        <f t="shared" si="14"/>
        <v>#N/A</v>
      </c>
      <c r="BH22" s="108" t="str">
        <f>+LEFT(BC25,1)</f>
        <v/>
      </c>
      <c r="BI22" s="108">
        <v>0.03</v>
      </c>
      <c r="BJ22" s="108">
        <v>0.04</v>
      </c>
      <c r="BK22" s="108">
        <v>0.05</v>
      </c>
    </row>
    <row r="23" spans="3:63">
      <c r="C23" s="12"/>
      <c r="D23" s="222"/>
      <c r="E23" s="5"/>
      <c r="F23" s="12"/>
      <c r="G23" s="5"/>
      <c r="H23" s="5"/>
      <c r="I23" s="102"/>
      <c r="J23" s="102"/>
      <c r="K23" s="12"/>
      <c r="L23" s="12"/>
      <c r="M23" s="12"/>
      <c r="N23" s="114">
        <f t="shared" si="0"/>
        <v>0</v>
      </c>
      <c r="O23" s="114">
        <f t="shared" si="5"/>
        <v>0</v>
      </c>
      <c r="P23" s="113">
        <f t="shared" si="6"/>
        <v>0</v>
      </c>
      <c r="BC23" s="5" t="str">
        <f t="shared" si="1"/>
        <v/>
      </c>
      <c r="BE23" s="1" t="e">
        <f t="shared" si="2"/>
        <v>#N/A</v>
      </c>
      <c r="BF23" s="1" t="e">
        <f t="shared" si="3"/>
        <v>#N/A</v>
      </c>
      <c r="BG23" s="1" t="e">
        <f t="shared" si="4"/>
        <v>#N/A</v>
      </c>
      <c r="BH23" s="107" t="str">
        <f t="shared" ref="BH23" si="16">+LEFT(BC30,1)</f>
        <v>4</v>
      </c>
      <c r="BI23" s="107">
        <v>0.08</v>
      </c>
      <c r="BJ23" s="107">
        <v>0.13</v>
      </c>
      <c r="BK23" s="107">
        <v>0.17</v>
      </c>
    </row>
    <row r="24" spans="3:63">
      <c r="C24" s="12"/>
      <c r="D24" s="222"/>
      <c r="E24" s="5"/>
      <c r="F24" s="12"/>
      <c r="G24" s="5"/>
      <c r="H24" s="5"/>
      <c r="I24" s="102"/>
      <c r="J24" s="102"/>
      <c r="K24" s="12"/>
      <c r="L24" s="12"/>
      <c r="M24" s="12"/>
      <c r="N24" s="114">
        <f t="shared" si="0"/>
        <v>0</v>
      </c>
      <c r="O24" s="114">
        <f t="shared" si="5"/>
        <v>0</v>
      </c>
      <c r="P24" s="113">
        <f t="shared" si="6"/>
        <v>0</v>
      </c>
      <c r="BC24" s="5" t="str">
        <f t="shared" si="1"/>
        <v/>
      </c>
      <c r="BE24" s="1" t="e">
        <f t="shared" si="2"/>
        <v>#N/A</v>
      </c>
      <c r="BF24" s="1" t="e">
        <f t="shared" si="3"/>
        <v>#N/A</v>
      </c>
      <c r="BG24" s="1" t="e">
        <f t="shared" si="4"/>
        <v>#N/A</v>
      </c>
      <c r="BH24" s="108" t="str">
        <f>+LEFT(BC27,1)</f>
        <v>1</v>
      </c>
      <c r="BI24" s="108">
        <v>0.03</v>
      </c>
      <c r="BJ24" s="108">
        <v>0.04</v>
      </c>
      <c r="BK24" s="108">
        <v>0.05</v>
      </c>
    </row>
    <row r="25" spans="3:63">
      <c r="C25" s="12"/>
      <c r="D25" s="222"/>
      <c r="E25" s="5"/>
      <c r="F25" s="12"/>
      <c r="G25" s="5"/>
      <c r="H25" s="5"/>
      <c r="I25" s="116"/>
      <c r="J25" s="116"/>
      <c r="K25" s="12"/>
      <c r="L25" s="12"/>
      <c r="M25" s="12"/>
      <c r="N25" s="114">
        <f t="shared" si="0"/>
        <v>0</v>
      </c>
      <c r="O25" s="114">
        <f t="shared" si="5"/>
        <v>0</v>
      </c>
      <c r="P25" s="113">
        <f t="shared" si="6"/>
        <v>0</v>
      </c>
      <c r="BC25" s="5" t="str">
        <f t="shared" si="1"/>
        <v/>
      </c>
      <c r="BE25" s="1" t="e">
        <f t="shared" si="2"/>
        <v>#N/A</v>
      </c>
      <c r="BF25" s="1" t="e">
        <f t="shared" si="3"/>
        <v>#N/A</v>
      </c>
      <c r="BG25" s="1" t="e">
        <f t="shared" si="4"/>
        <v>#N/A</v>
      </c>
      <c r="BH25" s="108" t="str">
        <f t="shared" ref="BH25:BH27" si="17">+LEFT(BC28,1)</f>
        <v>2</v>
      </c>
      <c r="BI25" s="108">
        <v>0.05</v>
      </c>
      <c r="BJ25" s="108">
        <v>0.08</v>
      </c>
      <c r="BK25" s="110">
        <v>0.1</v>
      </c>
    </row>
    <row r="26" spans="3:63">
      <c r="C26" s="694" t="s">
        <v>582</v>
      </c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115">
        <f>SUM(P15:P25)</f>
        <v>0</v>
      </c>
      <c r="BH26" s="108" t="str">
        <f t="shared" si="17"/>
        <v>3</v>
      </c>
      <c r="BI26" s="108">
        <v>0.08</v>
      </c>
      <c r="BJ26" s="108">
        <v>0.12</v>
      </c>
      <c r="BK26" s="108">
        <v>0.14000000000000001</v>
      </c>
    </row>
    <row r="27" spans="3:63">
      <c r="C27" s="12"/>
      <c r="D27" s="688" t="s">
        <v>572</v>
      </c>
      <c r="E27" s="688"/>
      <c r="F27" s="688"/>
      <c r="G27" s="688"/>
      <c r="H27" s="688"/>
      <c r="I27" s="688"/>
      <c r="J27" s="688"/>
      <c r="K27" s="104"/>
      <c r="L27" s="687" t="s">
        <v>575</v>
      </c>
      <c r="M27" s="688"/>
      <c r="N27" s="688"/>
      <c r="O27" s="689"/>
      <c r="P27" s="114">
        <f>+IF(K27="",0,1)</f>
        <v>0</v>
      </c>
      <c r="BC27" s="1" t="s">
        <v>324</v>
      </c>
      <c r="BH27" s="108" t="str">
        <f t="shared" si="17"/>
        <v>4</v>
      </c>
      <c r="BI27" s="108">
        <v>0.11</v>
      </c>
      <c r="BJ27" s="108">
        <v>0.16</v>
      </c>
      <c r="BK27" s="108">
        <v>0.18</v>
      </c>
    </row>
    <row r="28" spans="3:63">
      <c r="C28" s="12"/>
      <c r="D28" s="688" t="s">
        <v>573</v>
      </c>
      <c r="E28" s="688"/>
      <c r="F28" s="688"/>
      <c r="G28" s="688"/>
      <c r="H28" s="688"/>
      <c r="I28" s="688"/>
      <c r="J28" s="688"/>
      <c r="K28" s="104"/>
      <c r="L28" s="687" t="s">
        <v>576</v>
      </c>
      <c r="M28" s="688"/>
      <c r="N28" s="688"/>
      <c r="O28" s="689"/>
      <c r="P28" s="114">
        <f>+IF(K28="",0,2)</f>
        <v>0</v>
      </c>
      <c r="BC28" s="1" t="s">
        <v>325</v>
      </c>
    </row>
    <row r="29" spans="3:63">
      <c r="C29" s="12"/>
      <c r="D29" s="693" t="s">
        <v>574</v>
      </c>
      <c r="E29" s="693"/>
      <c r="F29" s="693"/>
      <c r="G29" s="693"/>
      <c r="H29" s="693"/>
      <c r="I29" s="693"/>
      <c r="J29" s="693"/>
      <c r="K29" s="104"/>
      <c r="L29" s="687" t="s">
        <v>577</v>
      </c>
      <c r="M29" s="688"/>
      <c r="N29" s="688"/>
      <c r="O29" s="689"/>
      <c r="P29" s="114">
        <f>+IF(K29="",0,3)</f>
        <v>0</v>
      </c>
      <c r="BC29" s="1" t="s">
        <v>320</v>
      </c>
    </row>
    <row r="30" spans="3:63">
      <c r="C30" s="694" t="s">
        <v>582</v>
      </c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115">
        <f>SUM(P26:P29)</f>
        <v>0</v>
      </c>
      <c r="BC30" s="1" t="s">
        <v>326</v>
      </c>
    </row>
    <row r="31" spans="3:63" s="18" customFormat="1">
      <c r="C31" s="141" t="s">
        <v>802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39"/>
    </row>
    <row r="33" spans="2:57">
      <c r="B33" s="4" t="s">
        <v>583</v>
      </c>
    </row>
    <row r="34" spans="2:57" s="18" customFormat="1" ht="17.25" customHeight="1">
      <c r="C34" s="610" t="s">
        <v>374</v>
      </c>
      <c r="D34" s="613" t="s">
        <v>584</v>
      </c>
      <c r="E34" s="614"/>
      <c r="F34" s="614"/>
      <c r="G34" s="614"/>
      <c r="H34" s="614"/>
      <c r="I34" s="614"/>
      <c r="J34" s="614"/>
      <c r="K34" s="614"/>
      <c r="L34" s="614"/>
      <c r="M34" s="614"/>
      <c r="N34" s="615"/>
      <c r="O34" s="628" t="s">
        <v>589</v>
      </c>
      <c r="P34" s="629"/>
      <c r="Q34" s="629"/>
      <c r="R34" s="629"/>
      <c r="S34" s="686"/>
      <c r="T34" s="628" t="s">
        <v>381</v>
      </c>
      <c r="U34" s="629"/>
      <c r="V34" s="629"/>
      <c r="W34" s="686"/>
      <c r="X34" s="690" t="s">
        <v>581</v>
      </c>
      <c r="BC34" s="1"/>
    </row>
    <row r="35" spans="2:57" s="18" customFormat="1" ht="17.25" customHeight="1">
      <c r="C35" s="611"/>
      <c r="D35" s="616" t="s">
        <v>561</v>
      </c>
      <c r="E35" s="619" t="s">
        <v>585</v>
      </c>
      <c r="F35" s="620"/>
      <c r="G35" s="620"/>
      <c r="H35" s="620"/>
      <c r="I35" s="620"/>
      <c r="J35" s="621"/>
      <c r="K35" s="616" t="s">
        <v>563</v>
      </c>
      <c r="L35" s="616" t="s">
        <v>564</v>
      </c>
      <c r="M35" s="616" t="s">
        <v>565</v>
      </c>
      <c r="N35" s="681" t="s">
        <v>586</v>
      </c>
      <c r="O35" s="631" t="s">
        <v>587</v>
      </c>
      <c r="P35" s="632"/>
      <c r="Q35" s="683" t="s">
        <v>376</v>
      </c>
      <c r="R35" s="723" t="s">
        <v>590</v>
      </c>
      <c r="S35" s="724"/>
      <c r="T35" s="631" t="s">
        <v>587</v>
      </c>
      <c r="U35" s="632"/>
      <c r="V35" s="723" t="s">
        <v>581</v>
      </c>
      <c r="W35" s="724"/>
      <c r="X35" s="691"/>
    </row>
    <row r="36" spans="2:57" s="18" customFormat="1" ht="39.75" customHeight="1">
      <c r="C36" s="611"/>
      <c r="D36" s="617"/>
      <c r="E36" s="622"/>
      <c r="F36" s="623"/>
      <c r="G36" s="623"/>
      <c r="H36" s="623"/>
      <c r="I36" s="623"/>
      <c r="J36" s="624"/>
      <c r="K36" s="617"/>
      <c r="L36" s="617"/>
      <c r="M36" s="617"/>
      <c r="N36" s="682"/>
      <c r="O36" s="633"/>
      <c r="P36" s="634"/>
      <c r="Q36" s="684"/>
      <c r="R36" s="725"/>
      <c r="S36" s="726"/>
      <c r="T36" s="633"/>
      <c r="U36" s="634"/>
      <c r="V36" s="725"/>
      <c r="W36" s="726"/>
      <c r="X36" s="691"/>
    </row>
    <row r="37" spans="2:57" s="18" customFormat="1" ht="17.25" customHeight="1">
      <c r="C37" s="611"/>
      <c r="D37" s="617"/>
      <c r="E37" s="622"/>
      <c r="F37" s="623"/>
      <c r="G37" s="623"/>
      <c r="H37" s="623"/>
      <c r="I37" s="623"/>
      <c r="J37" s="624"/>
      <c r="K37" s="617"/>
      <c r="L37" s="617"/>
      <c r="M37" s="617"/>
      <c r="N37" s="682"/>
      <c r="O37" s="635"/>
      <c r="P37" s="636"/>
      <c r="Q37" s="684"/>
      <c r="R37" s="727"/>
      <c r="S37" s="728"/>
      <c r="T37" s="635"/>
      <c r="U37" s="636"/>
      <c r="V37" s="727"/>
      <c r="W37" s="728"/>
      <c r="X37" s="691"/>
    </row>
    <row r="38" spans="2:57" s="18" customFormat="1" ht="17.25" customHeight="1">
      <c r="C38" s="612"/>
      <c r="D38" s="618"/>
      <c r="E38" s="625"/>
      <c r="F38" s="626"/>
      <c r="G38" s="626"/>
      <c r="H38" s="626"/>
      <c r="I38" s="626"/>
      <c r="J38" s="627"/>
      <c r="K38" s="618"/>
      <c r="L38" s="22" t="s">
        <v>119</v>
      </c>
      <c r="M38" s="117" t="s">
        <v>566</v>
      </c>
      <c r="N38" s="118" t="s">
        <v>566</v>
      </c>
      <c r="O38" s="211" t="s">
        <v>366</v>
      </c>
      <c r="P38" s="212" t="s">
        <v>588</v>
      </c>
      <c r="Q38" s="685"/>
      <c r="R38" s="44" t="s">
        <v>366</v>
      </c>
      <c r="S38" s="44" t="s">
        <v>588</v>
      </c>
      <c r="T38" s="211" t="s">
        <v>366</v>
      </c>
      <c r="U38" s="212" t="s">
        <v>588</v>
      </c>
      <c r="V38" s="44" t="s">
        <v>366</v>
      </c>
      <c r="W38" s="44" t="s">
        <v>588</v>
      </c>
      <c r="X38" s="692"/>
    </row>
    <row r="39" spans="2:57" s="18" customFormat="1" ht="15" customHeight="1">
      <c r="C39" s="28">
        <v>1</v>
      </c>
      <c r="D39" s="28"/>
      <c r="E39" s="661"/>
      <c r="F39" s="662"/>
      <c r="G39" s="662"/>
      <c r="H39" s="662"/>
      <c r="I39" s="662"/>
      <c r="J39" s="663"/>
      <c r="K39" s="29"/>
      <c r="L39" s="29"/>
      <c r="M39" s="102"/>
      <c r="N39" s="102"/>
      <c r="O39" s="30"/>
      <c r="P39" s="29"/>
      <c r="Q39" s="28"/>
      <c r="R39" s="31">
        <f>+IF(O39="",0,BE39)</f>
        <v>0</v>
      </c>
      <c r="S39" s="32">
        <f>+P39/15*1.5</f>
        <v>0</v>
      </c>
      <c r="T39" s="30"/>
      <c r="U39" s="29"/>
      <c r="V39" s="33">
        <f>T39*0.15</f>
        <v>0</v>
      </c>
      <c r="W39" s="33">
        <f>U39*0.1</f>
        <v>0</v>
      </c>
      <c r="X39" s="33">
        <f>R39+S39+V39+W39</f>
        <v>0</v>
      </c>
      <c r="BC39" s="5" t="str">
        <f>+LEFT(L39,1)</f>
        <v/>
      </c>
      <c r="BD39" s="1"/>
      <c r="BE39" s="1" t="e">
        <f>+IF(N39="ไม่มี",IF(Q39&lt;=30,O39/15*2,((O39/15*2)+(Q39-30)*(VLOOKUP(BC39,$BH$16:$BJ$23,2,FALSE)))),IF(Q39&gt;30,O39/15*2.5,((O39/15*2.5)+(Q39-30)*(VLOOKUP(BC39,$BH$24:$BJ$27,2,FALSE)))))</f>
        <v>#N/A</v>
      </c>
    </row>
    <row r="40" spans="2:57" s="18" customFormat="1">
      <c r="C40" s="28">
        <v>2</v>
      </c>
      <c r="D40" s="28"/>
      <c r="E40" s="661"/>
      <c r="F40" s="662"/>
      <c r="G40" s="662"/>
      <c r="H40" s="662"/>
      <c r="I40" s="662"/>
      <c r="J40" s="663"/>
      <c r="K40" s="29"/>
      <c r="L40" s="29"/>
      <c r="M40" s="102"/>
      <c r="N40" s="102"/>
      <c r="O40" s="30"/>
      <c r="P40" s="29"/>
      <c r="Q40" s="28"/>
      <c r="R40" s="31">
        <f>+IF(O40="",0,BE40)</f>
        <v>0</v>
      </c>
      <c r="S40" s="32">
        <f t="shared" ref="S40:S45" si="18">+P40/15*1.5</f>
        <v>0</v>
      </c>
      <c r="T40" s="30"/>
      <c r="U40" s="29"/>
      <c r="V40" s="33">
        <f t="shared" ref="V40:V45" si="19">T40*0.15</f>
        <v>0</v>
      </c>
      <c r="W40" s="33">
        <f t="shared" ref="W40:W45" si="20">U40*0.1</f>
        <v>0</v>
      </c>
      <c r="X40" s="33">
        <f t="shared" ref="X40:X45" si="21">R40+S40+V40+W40</f>
        <v>0</v>
      </c>
      <c r="BC40" s="5" t="str">
        <f t="shared" ref="BC40:BC45" si="22">+LEFT(L40,1)</f>
        <v/>
      </c>
      <c r="BE40" s="1" t="e">
        <f>+IF(N40="ไม่มี",IF(Q40&lt;=30,O40/15*2,((O40/15*2)+(Q40-30)*(VLOOKUP(BC40,$BH$16:$BJ$23,2,FALSE)))),IF(Q40&gt;30,O40/15*2.5,((O40/15*2.5)+(Q40-30)*(VLOOKUP(BC40,$BH$24:$BJ$27,2,FALSE)))))</f>
        <v>#N/A</v>
      </c>
    </row>
    <row r="41" spans="2:57" s="18" customFormat="1">
      <c r="C41" s="28">
        <v>3</v>
      </c>
      <c r="D41" s="28"/>
      <c r="E41" s="661"/>
      <c r="F41" s="662"/>
      <c r="G41" s="662"/>
      <c r="H41" s="662"/>
      <c r="I41" s="662"/>
      <c r="J41" s="663"/>
      <c r="K41" s="29"/>
      <c r="L41" s="29"/>
      <c r="M41" s="102"/>
      <c r="N41" s="102"/>
      <c r="O41" s="30"/>
      <c r="P41" s="29"/>
      <c r="Q41" s="28"/>
      <c r="R41" s="31">
        <f t="shared" ref="R41:R45" si="23">+IF(O41="",0,BE41)</f>
        <v>0</v>
      </c>
      <c r="S41" s="32">
        <f t="shared" si="18"/>
        <v>0</v>
      </c>
      <c r="T41" s="30"/>
      <c r="U41" s="29"/>
      <c r="V41" s="33">
        <f t="shared" si="19"/>
        <v>0</v>
      </c>
      <c r="W41" s="33">
        <f t="shared" si="20"/>
        <v>0</v>
      </c>
      <c r="X41" s="33">
        <f t="shared" si="21"/>
        <v>0</v>
      </c>
      <c r="BC41" s="5" t="str">
        <f t="shared" si="22"/>
        <v/>
      </c>
      <c r="BE41" s="1" t="e">
        <f>+IF(I41="ไม่มี",IF(M41&lt;=30,K41/15*2,((K41/15*2)+(M41-30)*(VLOOKUP(BC41,$BH$16:$BJ$23,2,FALSE)))),IF(M41&gt;30,K41/15*2.5,((K41/15*2.5)+(M41-30)*(VLOOKUP(BC41,$BH$24:$BJ$27,2,FALSE)))))</f>
        <v>#N/A</v>
      </c>
    </row>
    <row r="42" spans="2:57" s="18" customFormat="1">
      <c r="C42" s="28">
        <v>4</v>
      </c>
      <c r="D42" s="28"/>
      <c r="E42" s="661"/>
      <c r="F42" s="662"/>
      <c r="G42" s="662"/>
      <c r="H42" s="662"/>
      <c r="I42" s="662"/>
      <c r="J42" s="663"/>
      <c r="K42" s="29"/>
      <c r="L42" s="29"/>
      <c r="M42" s="104"/>
      <c r="N42" s="119"/>
      <c r="O42" s="30"/>
      <c r="P42" s="29"/>
      <c r="Q42" s="28"/>
      <c r="R42" s="31">
        <f t="shared" si="23"/>
        <v>0</v>
      </c>
      <c r="S42" s="32">
        <f t="shared" si="18"/>
        <v>0</v>
      </c>
      <c r="T42" s="30"/>
      <c r="U42" s="29"/>
      <c r="V42" s="33">
        <f t="shared" si="19"/>
        <v>0</v>
      </c>
      <c r="W42" s="33">
        <f t="shared" si="20"/>
        <v>0</v>
      </c>
      <c r="X42" s="33">
        <f t="shared" si="21"/>
        <v>0</v>
      </c>
      <c r="BC42" s="5" t="str">
        <f t="shared" si="22"/>
        <v/>
      </c>
      <c r="BE42" s="1" t="e">
        <f>+IF(I42="ไม่มี",IF(M42&lt;=30,K42/15*2,((K42/15*2)+(M42-30)*(VLOOKUP(BC42,$BH$16:$BJ$23,2,FALSE)))),IF(M42&gt;30,K42/15*2.5,((K42/15*2.5)+(M42-30)*(VLOOKUP(BC42,$BH$24:$BJ$27,2,FALSE)))))</f>
        <v>#N/A</v>
      </c>
    </row>
    <row r="43" spans="2:57" s="18" customFormat="1">
      <c r="C43" s="28">
        <v>5</v>
      </c>
      <c r="D43" s="28"/>
      <c r="E43" s="661"/>
      <c r="F43" s="662"/>
      <c r="G43" s="662"/>
      <c r="H43" s="662"/>
      <c r="I43" s="662"/>
      <c r="J43" s="663"/>
      <c r="K43" s="29"/>
      <c r="L43" s="29"/>
      <c r="M43" s="104"/>
      <c r="N43" s="119"/>
      <c r="O43" s="30"/>
      <c r="P43" s="29"/>
      <c r="Q43" s="28"/>
      <c r="R43" s="31">
        <f t="shared" si="23"/>
        <v>0</v>
      </c>
      <c r="S43" s="32">
        <f t="shared" si="18"/>
        <v>0</v>
      </c>
      <c r="T43" s="30"/>
      <c r="U43" s="29"/>
      <c r="V43" s="33">
        <f t="shared" si="19"/>
        <v>0</v>
      </c>
      <c r="W43" s="33">
        <f t="shared" si="20"/>
        <v>0</v>
      </c>
      <c r="X43" s="33">
        <f t="shared" si="21"/>
        <v>0</v>
      </c>
      <c r="BC43" s="5" t="str">
        <f t="shared" si="22"/>
        <v/>
      </c>
      <c r="BE43" s="1" t="e">
        <f>+IF(I43="ไม่มี",IF(M43&lt;=30,K43/15*2,((K43/15*2)+(M43-30)*(VLOOKUP(BC43,$BH$16:$BJ$23,2,FALSE)))),IF(M43&gt;30,K43/15*2.5,((K43/15*2.5)+(M43-30)*(VLOOKUP(BC43,$BH$24:$BJ$27,2,FALSE)))))</f>
        <v>#N/A</v>
      </c>
    </row>
    <row r="44" spans="2:57" s="18" customFormat="1">
      <c r="C44" s="28">
        <v>6</v>
      </c>
      <c r="D44" s="28"/>
      <c r="E44" s="661"/>
      <c r="F44" s="662"/>
      <c r="G44" s="662"/>
      <c r="H44" s="662"/>
      <c r="I44" s="662"/>
      <c r="J44" s="663"/>
      <c r="K44" s="29"/>
      <c r="L44" s="29"/>
      <c r="M44" s="104"/>
      <c r="N44" s="119"/>
      <c r="O44" s="30"/>
      <c r="P44" s="29"/>
      <c r="Q44" s="28"/>
      <c r="R44" s="31">
        <f t="shared" si="23"/>
        <v>0</v>
      </c>
      <c r="S44" s="32">
        <f t="shared" si="18"/>
        <v>0</v>
      </c>
      <c r="T44" s="30"/>
      <c r="U44" s="29"/>
      <c r="V44" s="33">
        <f t="shared" si="19"/>
        <v>0</v>
      </c>
      <c r="W44" s="33">
        <f t="shared" si="20"/>
        <v>0</v>
      </c>
      <c r="X44" s="33">
        <f t="shared" si="21"/>
        <v>0</v>
      </c>
      <c r="BC44" s="5" t="str">
        <f t="shared" si="22"/>
        <v/>
      </c>
      <c r="BE44" s="1" t="e">
        <f>+IF(I44="ไม่มี",IF(M44&lt;=30,K44/15*2,((K44/15*2)+(M44-30)*(VLOOKUP(BC44,$BH$16:$BJ$23,2,FALSE)))),IF(M44&gt;30,K44/15*2.5,((K44/15*2.5)+(M44-30)*(VLOOKUP(BC44,$BH$24:$BJ$27,2,FALSE)))))</f>
        <v>#N/A</v>
      </c>
    </row>
    <row r="45" spans="2:57" s="18" customFormat="1">
      <c r="C45" s="28">
        <v>7</v>
      </c>
      <c r="D45" s="25"/>
      <c r="E45" s="661"/>
      <c r="F45" s="662"/>
      <c r="G45" s="662"/>
      <c r="H45" s="662"/>
      <c r="I45" s="662"/>
      <c r="J45" s="663"/>
      <c r="K45" s="29"/>
      <c r="L45" s="26"/>
      <c r="M45" s="104"/>
      <c r="N45" s="120"/>
      <c r="O45" s="27"/>
      <c r="P45" s="26"/>
      <c r="Q45" s="25"/>
      <c r="R45" s="31">
        <f t="shared" si="23"/>
        <v>0</v>
      </c>
      <c r="S45" s="32">
        <f t="shared" si="18"/>
        <v>0</v>
      </c>
      <c r="T45" s="27"/>
      <c r="U45" s="26"/>
      <c r="V45" s="33">
        <f t="shared" si="19"/>
        <v>0</v>
      </c>
      <c r="W45" s="33">
        <f t="shared" si="20"/>
        <v>0</v>
      </c>
      <c r="X45" s="33">
        <f t="shared" si="21"/>
        <v>0</v>
      </c>
      <c r="BC45" s="5" t="str">
        <f t="shared" si="22"/>
        <v/>
      </c>
      <c r="BE45" s="1" t="e">
        <f>+IF(I45="ไม่มี",IF(M45&lt;=30,K45/15*2,((K45/15*2)+(M45-30)*(VLOOKUP(BC45,$BH$16:$BJ$23,2,FALSE)))),IF(M45&gt;30,K45/15*2.5,((K45/15*2.5)+(M45-30)*(VLOOKUP(BC45,$BH$24:$BJ$27,2,FALSE)))))</f>
        <v>#N/A</v>
      </c>
    </row>
    <row r="46" spans="2:57" s="18" customFormat="1">
      <c r="C46" s="640" t="s">
        <v>591</v>
      </c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64"/>
      <c r="X46" s="21">
        <f>SUM(X39:X45)</f>
        <v>0</v>
      </c>
    </row>
    <row r="48" spans="2:57">
      <c r="B48" s="1" t="s">
        <v>592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  <row r="49" spans="3:58" ht="31.15" customHeight="1">
      <c r="C49" s="643" t="s">
        <v>374</v>
      </c>
      <c r="D49" s="643" t="s">
        <v>561</v>
      </c>
      <c r="E49" s="649" t="s">
        <v>562</v>
      </c>
      <c r="F49" s="650"/>
      <c r="G49" s="650"/>
      <c r="H49" s="651"/>
      <c r="I49" s="643" t="s">
        <v>563</v>
      </c>
      <c r="J49" s="658" t="s">
        <v>593</v>
      </c>
      <c r="K49" s="575" t="s">
        <v>376</v>
      </c>
      <c r="L49" s="658" t="s">
        <v>595</v>
      </c>
      <c r="M49" s="665" t="s">
        <v>594</v>
      </c>
      <c r="N49" s="671" t="s">
        <v>590</v>
      </c>
      <c r="O49" s="668" t="s">
        <v>598</v>
      </c>
      <c r="P49" s="669"/>
      <c r="Q49" s="668" t="s">
        <v>599</v>
      </c>
      <c r="R49" s="670"/>
      <c r="S49" s="670"/>
      <c r="T49" s="670"/>
      <c r="U49" s="670"/>
      <c r="V49" s="669"/>
      <c r="W49" s="676" t="s">
        <v>581</v>
      </c>
    </row>
    <row r="50" spans="3:58" ht="23.45" customHeight="1">
      <c r="C50" s="644"/>
      <c r="D50" s="644"/>
      <c r="E50" s="652"/>
      <c r="F50" s="653"/>
      <c r="G50" s="653"/>
      <c r="H50" s="654"/>
      <c r="I50" s="644"/>
      <c r="J50" s="659"/>
      <c r="K50" s="545"/>
      <c r="L50" s="660"/>
      <c r="M50" s="666"/>
      <c r="N50" s="672"/>
      <c r="O50" s="679" t="s">
        <v>596</v>
      </c>
      <c r="P50" s="679" t="s">
        <v>597</v>
      </c>
      <c r="Q50" s="668" t="s">
        <v>600</v>
      </c>
      <c r="R50" s="669"/>
      <c r="S50" s="668" t="s">
        <v>602</v>
      </c>
      <c r="T50" s="670"/>
      <c r="U50" s="669"/>
      <c r="V50" s="674" t="s">
        <v>605</v>
      </c>
      <c r="W50" s="677"/>
    </row>
    <row r="51" spans="3:58" ht="56.45" customHeight="1">
      <c r="C51" s="645"/>
      <c r="D51" s="645"/>
      <c r="E51" s="655"/>
      <c r="F51" s="656"/>
      <c r="G51" s="656"/>
      <c r="H51" s="657"/>
      <c r="I51" s="645"/>
      <c r="J51" s="123" t="s">
        <v>119</v>
      </c>
      <c r="K51" s="546"/>
      <c r="L51" s="659"/>
      <c r="M51" s="667"/>
      <c r="N51" s="673"/>
      <c r="O51" s="680"/>
      <c r="P51" s="680"/>
      <c r="Q51" s="137" t="s">
        <v>600</v>
      </c>
      <c r="R51" s="131" t="s">
        <v>601</v>
      </c>
      <c r="S51" s="213" t="s">
        <v>603</v>
      </c>
      <c r="T51" s="213" t="s">
        <v>604</v>
      </c>
      <c r="U51" s="131" t="s">
        <v>601</v>
      </c>
      <c r="V51" s="675"/>
      <c r="W51" s="678"/>
      <c r="BE51" s="132" t="s">
        <v>327</v>
      </c>
      <c r="BF51" s="132" t="s">
        <v>328</v>
      </c>
    </row>
    <row r="52" spans="3:58">
      <c r="C52" s="128">
        <v>1</v>
      </c>
      <c r="D52" s="128"/>
      <c r="E52" s="589"/>
      <c r="F52" s="590"/>
      <c r="G52" s="590"/>
      <c r="H52" s="591"/>
      <c r="I52" s="128"/>
      <c r="J52" s="128"/>
      <c r="K52" s="128"/>
      <c r="L52" s="128"/>
      <c r="M52" s="130"/>
      <c r="N52" s="135">
        <f>+IF(M52="",0,IF(M52="หลัก",L52*1,L52*0.5))</f>
        <v>0</v>
      </c>
      <c r="O52" s="128"/>
      <c r="P52" s="128"/>
      <c r="Q52" s="128"/>
      <c r="R52" s="135">
        <f>Q52*1.5/15</f>
        <v>0</v>
      </c>
      <c r="S52" s="128"/>
      <c r="T52" s="128"/>
      <c r="U52" s="135">
        <f>+BE52+BF52</f>
        <v>0</v>
      </c>
      <c r="V52" s="128"/>
      <c r="W52" s="136">
        <f>+N52+O52+P52+R52+U52+V52</f>
        <v>0</v>
      </c>
      <c r="BE52" s="1">
        <f>+S52*0.2</f>
        <v>0</v>
      </c>
      <c r="BF52" s="1">
        <f>+T52*0.4</f>
        <v>0</v>
      </c>
    </row>
    <row r="53" spans="3:58">
      <c r="C53" s="128">
        <v>1</v>
      </c>
      <c r="D53" s="128"/>
      <c r="E53" s="589"/>
      <c r="F53" s="590"/>
      <c r="G53" s="590"/>
      <c r="H53" s="591"/>
      <c r="I53" s="128"/>
      <c r="J53" s="128"/>
      <c r="K53" s="128"/>
      <c r="L53" s="128"/>
      <c r="M53" s="130"/>
      <c r="N53" s="135">
        <f>+IF(M53="",0,IF(M53="หลัก",L53*1,L53*0.5))</f>
        <v>0</v>
      </c>
      <c r="O53" s="128"/>
      <c r="P53" s="128"/>
      <c r="Q53" s="128"/>
      <c r="R53" s="135">
        <f t="shared" ref="R53:R59" si="24">Q53*1.5/15</f>
        <v>0</v>
      </c>
      <c r="S53" s="128"/>
      <c r="T53" s="128"/>
      <c r="U53" s="135">
        <f t="shared" ref="U53:U59" si="25">+BE53+BF53</f>
        <v>0</v>
      </c>
      <c r="V53" s="128"/>
      <c r="W53" s="136">
        <f t="shared" ref="W53:W59" si="26">+N53+O53+P53+R53+U53+V53</f>
        <v>0</v>
      </c>
      <c r="BE53" s="1">
        <f t="shared" ref="BE53:BE59" si="27">+S53*0.2</f>
        <v>0</v>
      </c>
      <c r="BF53" s="1">
        <f t="shared" ref="BF53:BF59" si="28">+T53*0.4</f>
        <v>0</v>
      </c>
    </row>
    <row r="54" spans="3:58">
      <c r="C54" s="128">
        <v>2</v>
      </c>
      <c r="D54" s="128"/>
      <c r="E54" s="589"/>
      <c r="F54" s="590"/>
      <c r="G54" s="590"/>
      <c r="H54" s="591"/>
      <c r="I54" s="128"/>
      <c r="J54" s="128"/>
      <c r="K54" s="128"/>
      <c r="L54" s="128"/>
      <c r="M54" s="130"/>
      <c r="N54" s="135">
        <f t="shared" ref="N54:N59" si="29">+IF(M54="",0,IF(M54="หลัก",L54*1,L54*0.5))</f>
        <v>0</v>
      </c>
      <c r="O54" s="128"/>
      <c r="P54" s="128"/>
      <c r="Q54" s="128"/>
      <c r="R54" s="135">
        <f t="shared" si="24"/>
        <v>0</v>
      </c>
      <c r="S54" s="128"/>
      <c r="T54" s="128"/>
      <c r="U54" s="135">
        <f t="shared" si="25"/>
        <v>0</v>
      </c>
      <c r="V54" s="128"/>
      <c r="W54" s="136">
        <f t="shared" si="26"/>
        <v>0</v>
      </c>
      <c r="BE54" s="1">
        <f t="shared" si="27"/>
        <v>0</v>
      </c>
      <c r="BF54" s="1">
        <f t="shared" si="28"/>
        <v>0</v>
      </c>
    </row>
    <row r="55" spans="3:58">
      <c r="C55" s="128"/>
      <c r="D55" s="128"/>
      <c r="E55" s="589"/>
      <c r="F55" s="590"/>
      <c r="G55" s="590"/>
      <c r="H55" s="591"/>
      <c r="I55" s="128"/>
      <c r="J55" s="128"/>
      <c r="K55" s="128"/>
      <c r="L55" s="128"/>
      <c r="M55" s="130"/>
      <c r="N55" s="135">
        <f t="shared" si="29"/>
        <v>0</v>
      </c>
      <c r="O55" s="128"/>
      <c r="P55" s="128"/>
      <c r="Q55" s="128"/>
      <c r="R55" s="135">
        <f t="shared" si="24"/>
        <v>0</v>
      </c>
      <c r="S55" s="128"/>
      <c r="T55" s="128"/>
      <c r="U55" s="135">
        <f t="shared" si="25"/>
        <v>0</v>
      </c>
      <c r="V55" s="128"/>
      <c r="W55" s="136">
        <f t="shared" si="26"/>
        <v>0</v>
      </c>
      <c r="BE55" s="1">
        <f t="shared" si="27"/>
        <v>0</v>
      </c>
      <c r="BF55" s="1">
        <f t="shared" si="28"/>
        <v>0</v>
      </c>
    </row>
    <row r="56" spans="3:58">
      <c r="C56" s="128">
        <v>3</v>
      </c>
      <c r="D56" s="128"/>
      <c r="E56" s="589"/>
      <c r="F56" s="590"/>
      <c r="G56" s="590"/>
      <c r="H56" s="591"/>
      <c r="I56" s="128"/>
      <c r="J56" s="128"/>
      <c r="K56" s="128"/>
      <c r="L56" s="128"/>
      <c r="M56" s="130"/>
      <c r="N56" s="135">
        <f t="shared" si="29"/>
        <v>0</v>
      </c>
      <c r="O56" s="128"/>
      <c r="P56" s="128"/>
      <c r="Q56" s="128"/>
      <c r="R56" s="135">
        <f t="shared" si="24"/>
        <v>0</v>
      </c>
      <c r="S56" s="128"/>
      <c r="T56" s="128"/>
      <c r="U56" s="135">
        <f t="shared" si="25"/>
        <v>0</v>
      </c>
      <c r="V56" s="128"/>
      <c r="W56" s="136">
        <f t="shared" si="26"/>
        <v>0</v>
      </c>
      <c r="BE56" s="1">
        <f t="shared" si="27"/>
        <v>0</v>
      </c>
      <c r="BF56" s="1">
        <f t="shared" si="28"/>
        <v>0</v>
      </c>
    </row>
    <row r="57" spans="3:58">
      <c r="C57" s="128"/>
      <c r="D57" s="128"/>
      <c r="E57" s="589"/>
      <c r="F57" s="590"/>
      <c r="G57" s="590"/>
      <c r="H57" s="591"/>
      <c r="I57" s="128"/>
      <c r="J57" s="128"/>
      <c r="K57" s="128"/>
      <c r="L57" s="128"/>
      <c r="M57" s="130"/>
      <c r="N57" s="135">
        <f t="shared" si="29"/>
        <v>0</v>
      </c>
      <c r="O57" s="128"/>
      <c r="P57" s="128"/>
      <c r="Q57" s="128"/>
      <c r="R57" s="135">
        <f t="shared" si="24"/>
        <v>0</v>
      </c>
      <c r="S57" s="128"/>
      <c r="T57" s="128"/>
      <c r="U57" s="135">
        <f t="shared" si="25"/>
        <v>0</v>
      </c>
      <c r="V57" s="128"/>
      <c r="W57" s="136">
        <f t="shared" si="26"/>
        <v>0</v>
      </c>
      <c r="BE57" s="1">
        <f t="shared" si="27"/>
        <v>0</v>
      </c>
      <c r="BF57" s="1">
        <f t="shared" si="28"/>
        <v>0</v>
      </c>
    </row>
    <row r="58" spans="3:58">
      <c r="C58" s="128"/>
      <c r="D58" s="128"/>
      <c r="E58" s="589"/>
      <c r="F58" s="590"/>
      <c r="G58" s="590"/>
      <c r="H58" s="591"/>
      <c r="I58" s="128"/>
      <c r="J58" s="129"/>
      <c r="K58" s="128"/>
      <c r="L58" s="128"/>
      <c r="M58" s="130"/>
      <c r="N58" s="135">
        <f t="shared" si="29"/>
        <v>0</v>
      </c>
      <c r="O58" s="128"/>
      <c r="P58" s="128"/>
      <c r="Q58" s="128"/>
      <c r="R58" s="135">
        <f t="shared" si="24"/>
        <v>0</v>
      </c>
      <c r="S58" s="128"/>
      <c r="T58" s="128"/>
      <c r="U58" s="135">
        <f t="shared" si="25"/>
        <v>0</v>
      </c>
      <c r="V58" s="128"/>
      <c r="W58" s="136">
        <f t="shared" si="26"/>
        <v>0</v>
      </c>
      <c r="BE58" s="1">
        <f t="shared" si="27"/>
        <v>0</v>
      </c>
      <c r="BF58" s="1">
        <f t="shared" si="28"/>
        <v>0</v>
      </c>
    </row>
    <row r="59" spans="3:58">
      <c r="C59" s="128"/>
      <c r="D59" s="128"/>
      <c r="E59" s="589"/>
      <c r="F59" s="590"/>
      <c r="G59" s="590"/>
      <c r="H59" s="591"/>
      <c r="I59" s="128"/>
      <c r="J59" s="129"/>
      <c r="K59" s="128"/>
      <c r="L59" s="128"/>
      <c r="M59" s="130"/>
      <c r="N59" s="135">
        <f t="shared" si="29"/>
        <v>0</v>
      </c>
      <c r="O59" s="128"/>
      <c r="P59" s="128"/>
      <c r="Q59" s="128"/>
      <c r="R59" s="135">
        <f t="shared" si="24"/>
        <v>0</v>
      </c>
      <c r="S59" s="128"/>
      <c r="T59" s="128"/>
      <c r="U59" s="135">
        <f t="shared" si="25"/>
        <v>0</v>
      </c>
      <c r="V59" s="128"/>
      <c r="W59" s="136">
        <f t="shared" si="26"/>
        <v>0</v>
      </c>
      <c r="BE59" s="1">
        <f t="shared" si="27"/>
        <v>0</v>
      </c>
      <c r="BF59" s="1">
        <f t="shared" si="28"/>
        <v>0</v>
      </c>
    </row>
    <row r="60" spans="3:58">
      <c r="C60" s="595" t="s">
        <v>606</v>
      </c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7"/>
      <c r="W60" s="136">
        <f>SUM(W52:W59)</f>
        <v>0</v>
      </c>
    </row>
    <row r="61" spans="3:58" s="18" customFormat="1">
      <c r="C61" s="141" t="s">
        <v>803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39"/>
    </row>
    <row r="62" spans="3:58" s="18" customFormat="1">
      <c r="C62" s="141" t="s">
        <v>804</v>
      </c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39"/>
    </row>
    <row r="63" spans="3:58" s="18" customFormat="1">
      <c r="C63" s="141" t="s">
        <v>810</v>
      </c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39"/>
    </row>
    <row r="64" spans="3:58" s="18" customFormat="1">
      <c r="C64" s="13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9"/>
    </row>
    <row r="65" spans="2:59" s="18" customFormat="1">
      <c r="B65" s="38" t="s">
        <v>607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9"/>
    </row>
    <row r="66" spans="2:59" ht="31.15" customHeight="1">
      <c r="C66" s="643" t="s">
        <v>374</v>
      </c>
      <c r="D66" s="646" t="s">
        <v>561</v>
      </c>
      <c r="E66" s="649" t="s">
        <v>562</v>
      </c>
      <c r="F66" s="650"/>
      <c r="G66" s="650"/>
      <c r="H66" s="651"/>
      <c r="I66" s="643" t="s">
        <v>563</v>
      </c>
      <c r="J66" s="658" t="s">
        <v>593</v>
      </c>
      <c r="K66" s="658" t="s">
        <v>376</v>
      </c>
      <c r="L66" s="658" t="s">
        <v>608</v>
      </c>
      <c r="M66" s="704" t="s">
        <v>609</v>
      </c>
      <c r="N66" s="705"/>
      <c r="O66" s="706"/>
      <c r="P66" s="668" t="s">
        <v>612</v>
      </c>
      <c r="Q66" s="670"/>
      <c r="R66" s="669"/>
      <c r="S66" s="668" t="s">
        <v>154</v>
      </c>
      <c r="T66" s="669"/>
      <c r="U66" s="709" t="s">
        <v>590</v>
      </c>
    </row>
    <row r="67" spans="2:59" ht="23.45" customHeight="1">
      <c r="C67" s="644"/>
      <c r="D67" s="647"/>
      <c r="E67" s="652"/>
      <c r="F67" s="653"/>
      <c r="G67" s="653"/>
      <c r="H67" s="654"/>
      <c r="I67" s="644"/>
      <c r="J67" s="659"/>
      <c r="K67" s="660"/>
      <c r="L67" s="660"/>
      <c r="M67" s="665" t="s">
        <v>610</v>
      </c>
      <c r="N67" s="665" t="s">
        <v>611</v>
      </c>
      <c r="O67" s="671" t="s">
        <v>590</v>
      </c>
      <c r="P67" s="679" t="s">
        <v>805</v>
      </c>
      <c r="Q67" s="679" t="s">
        <v>806</v>
      </c>
      <c r="R67" s="671" t="s">
        <v>590</v>
      </c>
      <c r="S67" s="707" t="s">
        <v>600</v>
      </c>
      <c r="T67" s="712" t="s">
        <v>590</v>
      </c>
      <c r="U67" s="710"/>
    </row>
    <row r="68" spans="2:59" ht="56.45" customHeight="1">
      <c r="C68" s="645"/>
      <c r="D68" s="648"/>
      <c r="E68" s="655"/>
      <c r="F68" s="656"/>
      <c r="G68" s="656"/>
      <c r="H68" s="657"/>
      <c r="I68" s="645"/>
      <c r="J68" s="123" t="s">
        <v>119</v>
      </c>
      <c r="K68" s="659"/>
      <c r="L68" s="659"/>
      <c r="M68" s="667"/>
      <c r="N68" s="667"/>
      <c r="O68" s="673"/>
      <c r="P68" s="680"/>
      <c r="Q68" s="680"/>
      <c r="R68" s="673"/>
      <c r="S68" s="708"/>
      <c r="T68" s="713"/>
      <c r="U68" s="711"/>
      <c r="BB68" s="1" t="s">
        <v>330</v>
      </c>
      <c r="BC68" s="1" t="s">
        <v>306</v>
      </c>
      <c r="BD68" s="1" t="s">
        <v>329</v>
      </c>
      <c r="BF68" s="1" t="s">
        <v>331</v>
      </c>
      <c r="BG68" s="1" t="s">
        <v>332</v>
      </c>
    </row>
    <row r="69" spans="2:59">
      <c r="C69" s="128">
        <v>1</v>
      </c>
      <c r="D69" s="128"/>
      <c r="E69" s="589"/>
      <c r="F69" s="590"/>
      <c r="G69" s="590"/>
      <c r="H69" s="591"/>
      <c r="I69" s="128"/>
      <c r="J69" s="128"/>
      <c r="K69" s="128"/>
      <c r="L69" s="128"/>
      <c r="M69" s="130"/>
      <c r="N69" s="134"/>
      <c r="O69" s="135">
        <f t="shared" ref="O69:O80" si="30">+IF(M69="",0,SUM(BB69:BD69))</f>
        <v>0</v>
      </c>
      <c r="P69" s="214"/>
      <c r="Q69" s="214"/>
      <c r="R69" s="135">
        <f t="shared" ref="R69:R80" si="31">SUM(BF69:BG69)</f>
        <v>0</v>
      </c>
      <c r="S69" s="128"/>
      <c r="T69" s="127">
        <f>S69*1.5/15</f>
        <v>0</v>
      </c>
      <c r="U69" s="136">
        <f>+O69+R69+T69</f>
        <v>0</v>
      </c>
      <c r="BB69" s="1">
        <f>IF(N69="",0,IF(N69="Thesis",0,IF(N69="Dissertation",0,IF(M69="Main",L69*1,L69*0.5))))</f>
        <v>0</v>
      </c>
      <c r="BC69" s="1">
        <f>IF(N69="",0,IF(N69="IS",0,IF(N69="Dissertation",0,IF(M69="Main",L69*1.5,L69*0.5))))</f>
        <v>0</v>
      </c>
      <c r="BD69" s="1">
        <f>IF(N69="",0,IF(N69="Thesis",0,IF(N69="IS",0,IF(M69="Main",L69*3,L69*1))))</f>
        <v>0</v>
      </c>
      <c r="BF69" s="1">
        <f>+IF(P69="",0,IF(P69="Dissertation",L69*0.5,L69*0.2))</f>
        <v>0</v>
      </c>
      <c r="BG69" s="1">
        <f>IF(Q69="",0,IF(Q69="IS",L69*0.2,IF(Q69="Thesis",L69*0.3,L69*0.6)))</f>
        <v>0</v>
      </c>
    </row>
    <row r="70" spans="2:59">
      <c r="C70" s="128"/>
      <c r="D70" s="128"/>
      <c r="E70" s="589"/>
      <c r="F70" s="590"/>
      <c r="G70" s="590"/>
      <c r="H70" s="591"/>
      <c r="I70" s="128"/>
      <c r="J70" s="128"/>
      <c r="K70" s="128"/>
      <c r="L70" s="128"/>
      <c r="M70" s="130"/>
      <c r="N70" s="134"/>
      <c r="O70" s="135">
        <f t="shared" si="30"/>
        <v>0</v>
      </c>
      <c r="P70" s="214"/>
      <c r="Q70" s="214"/>
      <c r="R70" s="135">
        <f t="shared" si="31"/>
        <v>0</v>
      </c>
      <c r="S70" s="128"/>
      <c r="T70" s="127">
        <f t="shared" ref="T70:T80" si="32">S70*1.5/15</f>
        <v>0</v>
      </c>
      <c r="U70" s="136">
        <f t="shared" ref="U70:U80" si="33">+O70+R70+T70</f>
        <v>0</v>
      </c>
      <c r="BB70" s="1">
        <f t="shared" ref="BB70:BB80" si="34">IF(N70="",0,IF(N70="Thesis",0,IF(N70="Dissertation",0,IF(M70="Main",L70*1,L70*0.5))))</f>
        <v>0</v>
      </c>
      <c r="BC70" s="1">
        <f t="shared" ref="BC70:BC80" si="35">IF(N70="",0,IF(N70="IS",0,IF(N70="Dissertation",0,IF(M70="Main",L70*1.5,L70*0.5))))</f>
        <v>0</v>
      </c>
      <c r="BD70" s="1">
        <f t="shared" ref="BD70:BD80" si="36">IF(N70="",0,IF(N70="Thesis",0,IF(N70="IS",0,IF(M70="Main",L70*3,L70*1))))</f>
        <v>0</v>
      </c>
      <c r="BF70" s="1">
        <f t="shared" ref="BF70:BF80" si="37">+IF(P70="",0,IF(P70="Dissertation",L70*0.5,L70*0.2))</f>
        <v>0</v>
      </c>
      <c r="BG70" s="1">
        <f t="shared" ref="BG70:BG80" si="38">IF(Q70="",0,IF(Q70="IS",L70*0.2,IF(Q70="Thesis",L70*0.3,L70*0.6)))</f>
        <v>0</v>
      </c>
    </row>
    <row r="71" spans="2:59">
      <c r="C71" s="128"/>
      <c r="D71" s="128"/>
      <c r="E71" s="589"/>
      <c r="F71" s="590"/>
      <c r="G71" s="590"/>
      <c r="H71" s="591"/>
      <c r="I71" s="128"/>
      <c r="J71" s="128"/>
      <c r="K71" s="128"/>
      <c r="L71" s="128"/>
      <c r="M71" s="130"/>
      <c r="N71" s="134"/>
      <c r="O71" s="135">
        <f t="shared" si="30"/>
        <v>0</v>
      </c>
      <c r="P71" s="214"/>
      <c r="Q71" s="214"/>
      <c r="R71" s="135">
        <f t="shared" si="31"/>
        <v>0</v>
      </c>
      <c r="S71" s="128"/>
      <c r="T71" s="127">
        <f t="shared" si="32"/>
        <v>0</v>
      </c>
      <c r="U71" s="136">
        <f t="shared" si="33"/>
        <v>0</v>
      </c>
      <c r="BB71" s="1">
        <f t="shared" si="34"/>
        <v>0</v>
      </c>
      <c r="BC71" s="1">
        <f t="shared" si="35"/>
        <v>0</v>
      </c>
      <c r="BD71" s="1">
        <f t="shared" si="36"/>
        <v>0</v>
      </c>
      <c r="BF71" s="1">
        <f t="shared" si="37"/>
        <v>0</v>
      </c>
      <c r="BG71" s="1">
        <f t="shared" si="38"/>
        <v>0</v>
      </c>
    </row>
    <row r="72" spans="2:59">
      <c r="C72" s="128"/>
      <c r="D72" s="128"/>
      <c r="E72" s="589"/>
      <c r="F72" s="590"/>
      <c r="G72" s="590"/>
      <c r="H72" s="591"/>
      <c r="I72" s="128"/>
      <c r="J72" s="128"/>
      <c r="K72" s="128"/>
      <c r="L72" s="128"/>
      <c r="M72" s="130"/>
      <c r="N72" s="134"/>
      <c r="O72" s="135">
        <f t="shared" si="30"/>
        <v>0</v>
      </c>
      <c r="P72" s="214"/>
      <c r="Q72" s="214"/>
      <c r="R72" s="135">
        <f t="shared" si="31"/>
        <v>0</v>
      </c>
      <c r="S72" s="128"/>
      <c r="T72" s="127">
        <f t="shared" si="32"/>
        <v>0</v>
      </c>
      <c r="U72" s="136">
        <f t="shared" si="33"/>
        <v>0</v>
      </c>
      <c r="BB72" s="1">
        <f t="shared" si="34"/>
        <v>0</v>
      </c>
      <c r="BC72" s="1">
        <f t="shared" si="35"/>
        <v>0</v>
      </c>
      <c r="BD72" s="1">
        <f t="shared" si="36"/>
        <v>0</v>
      </c>
      <c r="BF72" s="1">
        <f t="shared" si="37"/>
        <v>0</v>
      </c>
      <c r="BG72" s="1">
        <f t="shared" si="38"/>
        <v>0</v>
      </c>
    </row>
    <row r="73" spans="2:59">
      <c r="C73" s="128"/>
      <c r="D73" s="128"/>
      <c r="E73" s="589"/>
      <c r="F73" s="590"/>
      <c r="G73" s="590"/>
      <c r="H73" s="591"/>
      <c r="I73" s="128"/>
      <c r="J73" s="128"/>
      <c r="K73" s="128"/>
      <c r="L73" s="128"/>
      <c r="M73" s="130"/>
      <c r="N73" s="134"/>
      <c r="O73" s="135">
        <f t="shared" si="30"/>
        <v>0</v>
      </c>
      <c r="P73" s="214"/>
      <c r="Q73" s="214"/>
      <c r="R73" s="135">
        <f t="shared" si="31"/>
        <v>0</v>
      </c>
      <c r="S73" s="128"/>
      <c r="T73" s="127">
        <f t="shared" si="32"/>
        <v>0</v>
      </c>
      <c r="U73" s="136">
        <f t="shared" si="33"/>
        <v>0</v>
      </c>
      <c r="BB73" s="1">
        <f t="shared" si="34"/>
        <v>0</v>
      </c>
      <c r="BC73" s="1">
        <f t="shared" si="35"/>
        <v>0</v>
      </c>
      <c r="BD73" s="1">
        <f t="shared" si="36"/>
        <v>0</v>
      </c>
      <c r="BF73" s="1">
        <f t="shared" si="37"/>
        <v>0</v>
      </c>
      <c r="BG73" s="1">
        <f t="shared" si="38"/>
        <v>0</v>
      </c>
    </row>
    <row r="74" spans="2:59">
      <c r="C74" s="128"/>
      <c r="D74" s="128"/>
      <c r="E74" s="589"/>
      <c r="F74" s="590"/>
      <c r="G74" s="590"/>
      <c r="H74" s="591"/>
      <c r="I74" s="128"/>
      <c r="J74" s="128"/>
      <c r="K74" s="128"/>
      <c r="L74" s="128"/>
      <c r="M74" s="130"/>
      <c r="N74" s="134"/>
      <c r="O74" s="135">
        <f t="shared" si="30"/>
        <v>0</v>
      </c>
      <c r="P74" s="214"/>
      <c r="Q74" s="214"/>
      <c r="R74" s="135">
        <f t="shared" si="31"/>
        <v>0</v>
      </c>
      <c r="S74" s="128"/>
      <c r="T74" s="127">
        <f t="shared" si="32"/>
        <v>0</v>
      </c>
      <c r="U74" s="136">
        <f t="shared" si="33"/>
        <v>0</v>
      </c>
      <c r="BB74" s="1">
        <f t="shared" si="34"/>
        <v>0</v>
      </c>
      <c r="BC74" s="1">
        <f t="shared" si="35"/>
        <v>0</v>
      </c>
      <c r="BD74" s="1">
        <f t="shared" si="36"/>
        <v>0</v>
      </c>
      <c r="BF74" s="1">
        <f t="shared" si="37"/>
        <v>0</v>
      </c>
      <c r="BG74" s="1">
        <f t="shared" si="38"/>
        <v>0</v>
      </c>
    </row>
    <row r="75" spans="2:59">
      <c r="C75" s="128"/>
      <c r="D75" s="128"/>
      <c r="E75" s="124"/>
      <c r="F75" s="125"/>
      <c r="G75" s="125"/>
      <c r="H75" s="126"/>
      <c r="I75" s="128"/>
      <c r="J75" s="128"/>
      <c r="K75" s="128"/>
      <c r="L75" s="128"/>
      <c r="M75" s="130"/>
      <c r="N75" s="134"/>
      <c r="O75" s="135">
        <f t="shared" si="30"/>
        <v>0</v>
      </c>
      <c r="P75" s="214"/>
      <c r="Q75" s="214"/>
      <c r="R75" s="135">
        <f t="shared" si="31"/>
        <v>0</v>
      </c>
      <c r="S75" s="128"/>
      <c r="T75" s="127">
        <f t="shared" si="32"/>
        <v>0</v>
      </c>
      <c r="U75" s="136">
        <f t="shared" si="33"/>
        <v>0</v>
      </c>
      <c r="BB75" s="1">
        <f t="shared" si="34"/>
        <v>0</v>
      </c>
      <c r="BC75" s="1">
        <f t="shared" si="35"/>
        <v>0</v>
      </c>
      <c r="BD75" s="1">
        <f t="shared" si="36"/>
        <v>0</v>
      </c>
      <c r="BF75" s="1">
        <f t="shared" si="37"/>
        <v>0</v>
      </c>
      <c r="BG75" s="1">
        <f t="shared" si="38"/>
        <v>0</v>
      </c>
    </row>
    <row r="76" spans="2:59">
      <c r="C76" s="128"/>
      <c r="D76" s="128"/>
      <c r="E76" s="124"/>
      <c r="F76" s="125"/>
      <c r="G76" s="125"/>
      <c r="H76" s="126"/>
      <c r="I76" s="128"/>
      <c r="J76" s="128"/>
      <c r="K76" s="128"/>
      <c r="L76" s="128"/>
      <c r="M76" s="130"/>
      <c r="N76" s="134"/>
      <c r="O76" s="135">
        <f t="shared" si="30"/>
        <v>0</v>
      </c>
      <c r="P76" s="214"/>
      <c r="Q76" s="214"/>
      <c r="R76" s="135">
        <f t="shared" si="31"/>
        <v>0</v>
      </c>
      <c r="S76" s="128"/>
      <c r="T76" s="127">
        <f t="shared" si="32"/>
        <v>0</v>
      </c>
      <c r="U76" s="136">
        <f t="shared" si="33"/>
        <v>0</v>
      </c>
      <c r="BB76" s="1">
        <f t="shared" si="34"/>
        <v>0</v>
      </c>
      <c r="BC76" s="1">
        <f t="shared" si="35"/>
        <v>0</v>
      </c>
      <c r="BD76" s="1">
        <f t="shared" si="36"/>
        <v>0</v>
      </c>
      <c r="BF76" s="1">
        <f t="shared" si="37"/>
        <v>0</v>
      </c>
      <c r="BG76" s="1">
        <f t="shared" si="38"/>
        <v>0</v>
      </c>
    </row>
    <row r="77" spans="2:59">
      <c r="C77" s="128"/>
      <c r="D77" s="128"/>
      <c r="E77" s="124"/>
      <c r="F77" s="125"/>
      <c r="G77" s="125"/>
      <c r="H77" s="126"/>
      <c r="I77" s="128"/>
      <c r="J77" s="128"/>
      <c r="K77" s="128"/>
      <c r="L77" s="128"/>
      <c r="M77" s="130"/>
      <c r="N77" s="134"/>
      <c r="O77" s="135">
        <f t="shared" si="30"/>
        <v>0</v>
      </c>
      <c r="P77" s="214"/>
      <c r="Q77" s="214"/>
      <c r="R77" s="135">
        <f t="shared" si="31"/>
        <v>0</v>
      </c>
      <c r="S77" s="128"/>
      <c r="T77" s="127">
        <f t="shared" si="32"/>
        <v>0</v>
      </c>
      <c r="U77" s="136">
        <f t="shared" si="33"/>
        <v>0</v>
      </c>
      <c r="BB77" s="1">
        <f t="shared" si="34"/>
        <v>0</v>
      </c>
      <c r="BC77" s="1">
        <f t="shared" si="35"/>
        <v>0</v>
      </c>
      <c r="BD77" s="1">
        <f t="shared" si="36"/>
        <v>0</v>
      </c>
      <c r="BF77" s="1">
        <f t="shared" si="37"/>
        <v>0</v>
      </c>
      <c r="BG77" s="1">
        <f t="shared" si="38"/>
        <v>0</v>
      </c>
    </row>
    <row r="78" spans="2:59">
      <c r="C78" s="128"/>
      <c r="D78" s="128"/>
      <c r="E78" s="124"/>
      <c r="F78" s="125"/>
      <c r="G78" s="125"/>
      <c r="H78" s="126"/>
      <c r="I78" s="128"/>
      <c r="J78" s="128"/>
      <c r="K78" s="128"/>
      <c r="L78" s="128"/>
      <c r="M78" s="130"/>
      <c r="N78" s="134"/>
      <c r="O78" s="135">
        <f t="shared" si="30"/>
        <v>0</v>
      </c>
      <c r="P78" s="214"/>
      <c r="Q78" s="214"/>
      <c r="R78" s="135">
        <f t="shared" si="31"/>
        <v>0</v>
      </c>
      <c r="S78" s="128"/>
      <c r="T78" s="127">
        <f t="shared" si="32"/>
        <v>0</v>
      </c>
      <c r="U78" s="136">
        <f t="shared" si="33"/>
        <v>0</v>
      </c>
      <c r="BB78" s="1">
        <f t="shared" si="34"/>
        <v>0</v>
      </c>
      <c r="BC78" s="1">
        <f t="shared" si="35"/>
        <v>0</v>
      </c>
      <c r="BD78" s="1">
        <f t="shared" si="36"/>
        <v>0</v>
      </c>
      <c r="BF78" s="1">
        <f t="shared" si="37"/>
        <v>0</v>
      </c>
      <c r="BG78" s="1">
        <f t="shared" si="38"/>
        <v>0</v>
      </c>
    </row>
    <row r="79" spans="2:59">
      <c r="C79" s="128"/>
      <c r="D79" s="128"/>
      <c r="E79" s="589"/>
      <c r="F79" s="590"/>
      <c r="G79" s="590"/>
      <c r="H79" s="591"/>
      <c r="I79" s="128"/>
      <c r="J79" s="129"/>
      <c r="K79" s="128"/>
      <c r="L79" s="128"/>
      <c r="M79" s="130"/>
      <c r="N79" s="134"/>
      <c r="O79" s="135">
        <f t="shared" si="30"/>
        <v>0</v>
      </c>
      <c r="P79" s="214"/>
      <c r="Q79" s="214"/>
      <c r="R79" s="135">
        <f t="shared" si="31"/>
        <v>0</v>
      </c>
      <c r="S79" s="128"/>
      <c r="T79" s="127">
        <f t="shared" si="32"/>
        <v>0</v>
      </c>
      <c r="U79" s="136">
        <f t="shared" si="33"/>
        <v>0</v>
      </c>
      <c r="BB79" s="1">
        <f t="shared" si="34"/>
        <v>0</v>
      </c>
      <c r="BC79" s="1">
        <f t="shared" si="35"/>
        <v>0</v>
      </c>
      <c r="BD79" s="1">
        <f t="shared" si="36"/>
        <v>0</v>
      </c>
      <c r="BF79" s="1">
        <f t="shared" si="37"/>
        <v>0</v>
      </c>
      <c r="BG79" s="1">
        <f t="shared" si="38"/>
        <v>0</v>
      </c>
    </row>
    <row r="80" spans="2:59">
      <c r="C80" s="128"/>
      <c r="D80" s="128"/>
      <c r="E80" s="589"/>
      <c r="F80" s="590"/>
      <c r="G80" s="590"/>
      <c r="H80" s="591"/>
      <c r="I80" s="128"/>
      <c r="J80" s="129"/>
      <c r="K80" s="128"/>
      <c r="L80" s="128"/>
      <c r="M80" s="130"/>
      <c r="N80" s="134"/>
      <c r="O80" s="135">
        <f t="shared" si="30"/>
        <v>0</v>
      </c>
      <c r="P80" s="214"/>
      <c r="Q80" s="214"/>
      <c r="R80" s="135">
        <f t="shared" si="31"/>
        <v>0</v>
      </c>
      <c r="S80" s="128"/>
      <c r="T80" s="127">
        <f t="shared" si="32"/>
        <v>0</v>
      </c>
      <c r="U80" s="136">
        <f t="shared" si="33"/>
        <v>0</v>
      </c>
      <c r="BB80" s="1">
        <f t="shared" si="34"/>
        <v>0</v>
      </c>
      <c r="BC80" s="1">
        <f t="shared" si="35"/>
        <v>0</v>
      </c>
      <c r="BD80" s="1">
        <f t="shared" si="36"/>
        <v>0</v>
      </c>
      <c r="BF80" s="1">
        <f t="shared" si="37"/>
        <v>0</v>
      </c>
      <c r="BG80" s="1">
        <f t="shared" si="38"/>
        <v>0</v>
      </c>
    </row>
    <row r="81" spans="1:62">
      <c r="C81" s="595" t="s">
        <v>613</v>
      </c>
      <c r="D81" s="596"/>
      <c r="E81" s="596"/>
      <c r="F81" s="596"/>
      <c r="G81" s="596"/>
      <c r="H81" s="596"/>
      <c r="I81" s="596"/>
      <c r="J81" s="596"/>
      <c r="K81" s="596"/>
      <c r="L81" s="596"/>
      <c r="M81" s="596"/>
      <c r="N81" s="596"/>
      <c r="O81" s="596"/>
      <c r="P81" s="596"/>
      <c r="Q81" s="596"/>
      <c r="R81" s="596"/>
      <c r="S81" s="596"/>
      <c r="T81" s="597"/>
      <c r="U81" s="136">
        <f>SUM(U69:U80)</f>
        <v>0</v>
      </c>
    </row>
    <row r="82" spans="1:62" s="18" customFormat="1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9"/>
    </row>
    <row r="83" spans="1:62">
      <c r="B83" s="4" t="s">
        <v>614</v>
      </c>
    </row>
    <row r="84" spans="1:62" s="18" customFormat="1" ht="17.25" customHeight="1">
      <c r="C84" s="610" t="s">
        <v>374</v>
      </c>
      <c r="D84" s="613" t="s">
        <v>615</v>
      </c>
      <c r="E84" s="614"/>
      <c r="F84" s="614"/>
      <c r="G84" s="614"/>
      <c r="H84" s="614"/>
      <c r="I84" s="614"/>
      <c r="J84" s="614"/>
      <c r="K84" s="614"/>
      <c r="L84" s="614"/>
      <c r="M84" s="614"/>
      <c r="N84" s="615"/>
      <c r="O84" s="628" t="s">
        <v>567</v>
      </c>
      <c r="P84" s="630"/>
      <c r="Q84" s="735" t="s">
        <v>590</v>
      </c>
      <c r="BB84" s="106" t="s">
        <v>120</v>
      </c>
      <c r="BC84" s="1"/>
      <c r="BD84" s="1"/>
      <c r="BE84" s="1"/>
      <c r="BF84" s="1"/>
      <c r="BG84" s="1"/>
      <c r="BH84" s="1" t="s">
        <v>321</v>
      </c>
      <c r="BI84" s="1"/>
      <c r="BJ84" s="1"/>
    </row>
    <row r="85" spans="1:62" s="18" customFormat="1" ht="17.25" customHeight="1">
      <c r="C85" s="611"/>
      <c r="D85" s="616" t="s">
        <v>561</v>
      </c>
      <c r="E85" s="619" t="s">
        <v>562</v>
      </c>
      <c r="F85" s="620"/>
      <c r="G85" s="620"/>
      <c r="H85" s="620"/>
      <c r="I85" s="620"/>
      <c r="J85" s="620"/>
      <c r="K85" s="621"/>
      <c r="L85" s="616" t="s">
        <v>563</v>
      </c>
      <c r="M85" s="616" t="s">
        <v>616</v>
      </c>
      <c r="N85" s="616" t="s">
        <v>565</v>
      </c>
      <c r="O85" s="738" t="s">
        <v>587</v>
      </c>
      <c r="P85" s="732" t="s">
        <v>376</v>
      </c>
      <c r="Q85" s="736"/>
      <c r="BB85" s="36"/>
      <c r="BC85" s="1"/>
      <c r="BD85" s="1"/>
      <c r="BE85" s="1"/>
      <c r="BF85" s="1"/>
      <c r="BG85" s="1"/>
      <c r="BH85" s="1"/>
      <c r="BI85" s="1"/>
      <c r="BJ85" s="1"/>
    </row>
    <row r="86" spans="1:62" s="18" customFormat="1" ht="17.25" customHeight="1">
      <c r="C86" s="611"/>
      <c r="D86" s="617"/>
      <c r="E86" s="622"/>
      <c r="F86" s="623"/>
      <c r="G86" s="623"/>
      <c r="H86" s="623"/>
      <c r="I86" s="623"/>
      <c r="J86" s="623"/>
      <c r="K86" s="624"/>
      <c r="L86" s="617"/>
      <c r="M86" s="617"/>
      <c r="N86" s="617"/>
      <c r="O86" s="739"/>
      <c r="P86" s="733"/>
      <c r="Q86" s="736"/>
      <c r="BB86" s="5" t="str">
        <f>+LEFT(G86,1)</f>
        <v/>
      </c>
      <c r="BC86" s="1"/>
      <c r="BD86" s="1"/>
      <c r="BE86" s="1"/>
      <c r="BF86" s="1"/>
      <c r="BG86" s="1"/>
      <c r="BH86" s="1"/>
      <c r="BI86" s="1"/>
      <c r="BJ86" s="1"/>
    </row>
    <row r="87" spans="1:62" s="18" customFormat="1" ht="17.25" customHeight="1">
      <c r="C87" s="611"/>
      <c r="D87" s="617"/>
      <c r="E87" s="622"/>
      <c r="F87" s="623"/>
      <c r="G87" s="623"/>
      <c r="H87" s="623"/>
      <c r="I87" s="623"/>
      <c r="J87" s="623"/>
      <c r="K87" s="624"/>
      <c r="L87" s="617"/>
      <c r="M87" s="617"/>
      <c r="N87" s="617"/>
      <c r="O87" s="739"/>
      <c r="P87" s="733"/>
      <c r="Q87" s="736"/>
      <c r="BB87" s="5" t="str">
        <f>+LEFT(G87,1)</f>
        <v/>
      </c>
      <c r="BC87" s="1"/>
      <c r="BD87" s="1"/>
      <c r="BE87" s="1"/>
      <c r="BF87" s="1"/>
      <c r="BG87" s="107" t="str">
        <f>+LEFT(BB94,1)</f>
        <v>1</v>
      </c>
      <c r="BH87" s="107">
        <v>0.03</v>
      </c>
      <c r="BI87" s="1"/>
      <c r="BJ87" s="1"/>
    </row>
    <row r="88" spans="1:62" s="18" customFormat="1" ht="17.25" customHeight="1">
      <c r="C88" s="612"/>
      <c r="D88" s="618"/>
      <c r="E88" s="625"/>
      <c r="F88" s="626"/>
      <c r="G88" s="626"/>
      <c r="H88" s="626"/>
      <c r="I88" s="626"/>
      <c r="J88" s="626"/>
      <c r="K88" s="627"/>
      <c r="L88" s="618"/>
      <c r="M88" s="46" t="s">
        <v>119</v>
      </c>
      <c r="N88" s="35" t="s">
        <v>38</v>
      </c>
      <c r="O88" s="740"/>
      <c r="P88" s="734"/>
      <c r="Q88" s="737"/>
      <c r="T88" s="19"/>
      <c r="BB88" s="5" t="str">
        <f>+LEFT(G88,1)</f>
        <v/>
      </c>
      <c r="BC88" s="1"/>
      <c r="BD88" s="1"/>
      <c r="BE88" s="1"/>
      <c r="BF88" s="1"/>
      <c r="BG88" s="107" t="str">
        <f t="shared" ref="BG88:BG90" si="39">+LEFT(BB95,1)</f>
        <v>2</v>
      </c>
      <c r="BH88" s="107">
        <v>0.05</v>
      </c>
      <c r="BI88" s="1"/>
      <c r="BJ88" s="1"/>
    </row>
    <row r="89" spans="1:62" s="18" customFormat="1" ht="15" customHeight="1">
      <c r="C89" s="28">
        <v>1</v>
      </c>
      <c r="D89" s="28"/>
      <c r="E89" s="592"/>
      <c r="F89" s="593"/>
      <c r="G89" s="593"/>
      <c r="H89" s="593"/>
      <c r="I89" s="593"/>
      <c r="J89" s="593"/>
      <c r="K89" s="594"/>
      <c r="L89" s="29"/>
      <c r="M89" s="47"/>
      <c r="N89" s="9"/>
      <c r="O89" s="30"/>
      <c r="P89" s="29"/>
      <c r="Q89" s="138">
        <f>+IF(P89="",0,IF(O89&gt;15,((O89/15*2.5)+((P89-15)*(VLOOKUP(BB89,$BG$87:$BH$90,2,FALSE))))))</f>
        <v>0</v>
      </c>
      <c r="T89" s="19"/>
      <c r="BB89" s="5" t="str">
        <f>+LEFT(M89,1)</f>
        <v/>
      </c>
      <c r="BC89" s="1"/>
      <c r="BD89" s="1"/>
      <c r="BE89" s="1"/>
      <c r="BF89" s="1"/>
      <c r="BG89" s="107" t="str">
        <f t="shared" si="39"/>
        <v>3</v>
      </c>
      <c r="BH89" s="107">
        <v>0.08</v>
      </c>
      <c r="BI89" s="1"/>
      <c r="BJ89" s="1"/>
    </row>
    <row r="90" spans="1:62" s="18" customFormat="1">
      <c r="C90" s="28">
        <v>2</v>
      </c>
      <c r="D90" s="28"/>
      <c r="E90" s="592"/>
      <c r="F90" s="593"/>
      <c r="G90" s="593"/>
      <c r="H90" s="593"/>
      <c r="I90" s="593"/>
      <c r="J90" s="593"/>
      <c r="K90" s="594"/>
      <c r="L90" s="29"/>
      <c r="M90" s="47"/>
      <c r="N90" s="9"/>
      <c r="O90" s="30"/>
      <c r="P90" s="29"/>
      <c r="Q90" s="138">
        <f t="shared" ref="Q90:Q93" si="40">+IF(P90="",0,IF(O90&gt;15,((O90/15*2.5)+((P90-15)*(VLOOKUP(BB90,$BG$87:$BH$90,2,FALSE))))))</f>
        <v>0</v>
      </c>
      <c r="BB90" s="5" t="str">
        <f>+LEFT(G90,1)</f>
        <v/>
      </c>
      <c r="BC90" s="1"/>
      <c r="BD90" s="1"/>
      <c r="BE90" s="1"/>
      <c r="BF90" s="1"/>
      <c r="BG90" s="107" t="str">
        <f t="shared" si="39"/>
        <v>4</v>
      </c>
      <c r="BH90" s="107">
        <v>0.11</v>
      </c>
      <c r="BI90" s="1"/>
      <c r="BJ90" s="1"/>
    </row>
    <row r="91" spans="1:62" s="18" customFormat="1">
      <c r="C91" s="28">
        <v>3</v>
      </c>
      <c r="D91" s="28"/>
      <c r="E91" s="592"/>
      <c r="F91" s="593"/>
      <c r="G91" s="593"/>
      <c r="H91" s="593"/>
      <c r="I91" s="593"/>
      <c r="J91" s="593"/>
      <c r="K91" s="594"/>
      <c r="L91" s="29"/>
      <c r="M91" s="29"/>
      <c r="N91" s="9"/>
      <c r="O91" s="30"/>
      <c r="P91" s="29"/>
      <c r="Q91" s="138">
        <f t="shared" si="40"/>
        <v>0</v>
      </c>
      <c r="BB91" s="5" t="str">
        <f>+LEFT(G91,1)</f>
        <v/>
      </c>
      <c r="BC91" s="1"/>
      <c r="BD91" s="1"/>
      <c r="BE91" s="1"/>
      <c r="BF91" s="1"/>
      <c r="BG91" s="108"/>
      <c r="BH91" s="108"/>
      <c r="BI91" s="1"/>
      <c r="BJ91" s="1"/>
    </row>
    <row r="92" spans="1:62" s="18" customFormat="1">
      <c r="C92" s="28">
        <v>4</v>
      </c>
      <c r="D92" s="28"/>
      <c r="E92" s="592"/>
      <c r="F92" s="593"/>
      <c r="G92" s="593"/>
      <c r="H92" s="593"/>
      <c r="I92" s="593"/>
      <c r="J92" s="593"/>
      <c r="K92" s="594"/>
      <c r="L92" s="29"/>
      <c r="M92" s="29"/>
      <c r="N92" s="9"/>
      <c r="O92" s="30"/>
      <c r="P92" s="29"/>
      <c r="Q92" s="138">
        <f t="shared" si="40"/>
        <v>0</v>
      </c>
      <c r="BB92" s="5" t="str">
        <f>+LEFT(G92,1)</f>
        <v/>
      </c>
      <c r="BC92" s="1"/>
      <c r="BD92" s="1"/>
      <c r="BE92" s="1"/>
      <c r="BF92" s="1"/>
      <c r="BG92" s="108"/>
      <c r="BH92" s="108"/>
      <c r="BI92" s="1"/>
      <c r="BJ92" s="1"/>
    </row>
    <row r="93" spans="1:62" s="18" customFormat="1">
      <c r="C93" s="20">
        <v>5</v>
      </c>
      <c r="D93" s="25"/>
      <c r="E93" s="23"/>
      <c r="F93" s="24"/>
      <c r="G93" s="24"/>
      <c r="H93" s="45"/>
      <c r="I93" s="45"/>
      <c r="J93" s="45"/>
      <c r="K93" s="45"/>
      <c r="L93" s="26"/>
      <c r="M93" s="26"/>
      <c r="N93" s="9"/>
      <c r="O93" s="27"/>
      <c r="P93" s="26"/>
      <c r="Q93" s="138">
        <f t="shared" si="40"/>
        <v>0</v>
      </c>
      <c r="BB93" s="1"/>
      <c r="BC93" s="1"/>
      <c r="BD93" s="1"/>
      <c r="BE93" s="1"/>
      <c r="BF93" s="1"/>
      <c r="BG93" s="108"/>
      <c r="BH93" s="108"/>
      <c r="BI93" s="1"/>
      <c r="BJ93" s="1"/>
    </row>
    <row r="94" spans="1:62" s="18" customFormat="1">
      <c r="C94" s="640" t="s">
        <v>274</v>
      </c>
      <c r="D94" s="641"/>
      <c r="E94" s="641"/>
      <c r="F94" s="641"/>
      <c r="G94" s="641"/>
      <c r="H94" s="641"/>
      <c r="I94" s="641"/>
      <c r="J94" s="641"/>
      <c r="K94" s="641"/>
      <c r="L94" s="641"/>
      <c r="M94" s="641"/>
      <c r="N94" s="641"/>
      <c r="O94" s="641"/>
      <c r="P94" s="642"/>
      <c r="Q94" s="139">
        <f>SUM(Q89:Q93)</f>
        <v>0</v>
      </c>
      <c r="BB94" s="1" t="s">
        <v>324</v>
      </c>
      <c r="BC94" s="1"/>
      <c r="BD94" s="1"/>
      <c r="BE94" s="1"/>
      <c r="BF94" s="1"/>
      <c r="BG94" s="108"/>
      <c r="BH94" s="108"/>
      <c r="BI94" s="1"/>
      <c r="BJ94" s="1"/>
    </row>
    <row r="95" spans="1:62" s="18" customFormat="1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9"/>
      <c r="BB95" s="1" t="s">
        <v>325</v>
      </c>
      <c r="BC95" s="1"/>
      <c r="BD95" s="1"/>
      <c r="BE95" s="1"/>
      <c r="BF95" s="1"/>
      <c r="BG95" s="1"/>
      <c r="BH95" s="1"/>
      <c r="BI95" s="1"/>
      <c r="BJ95" s="1"/>
    </row>
    <row r="96" spans="1:62">
      <c r="A96" s="1" t="s">
        <v>617</v>
      </c>
      <c r="BB96" s="1" t="s">
        <v>320</v>
      </c>
    </row>
    <row r="97" spans="2:55">
      <c r="B97" s="1" t="s">
        <v>807</v>
      </c>
      <c r="BB97" s="1" t="s">
        <v>326</v>
      </c>
    </row>
    <row r="98" spans="2:55" ht="16.5" customHeight="1">
      <c r="C98" s="525" t="s">
        <v>374</v>
      </c>
      <c r="D98" s="550" t="s">
        <v>618</v>
      </c>
      <c r="E98" s="551"/>
      <c r="F98" s="551"/>
      <c r="G98" s="552"/>
      <c r="H98" s="523" t="s">
        <v>619</v>
      </c>
      <c r="I98" s="560" t="s">
        <v>620</v>
      </c>
      <c r="J98" s="607" t="s">
        <v>621</v>
      </c>
      <c r="K98" s="608"/>
      <c r="L98" s="608"/>
      <c r="M98" s="608"/>
      <c r="N98" s="608"/>
      <c r="O98" s="608"/>
      <c r="P98" s="608"/>
      <c r="Q98" s="609"/>
      <c r="R98" s="550" t="s">
        <v>808</v>
      </c>
      <c r="S98" s="551"/>
      <c r="T98" s="551"/>
      <c r="U98" s="551"/>
      <c r="V98" s="552"/>
      <c r="W98" s="560" t="s">
        <v>622</v>
      </c>
      <c r="X98" s="588" t="s">
        <v>623</v>
      </c>
    </row>
    <row r="99" spans="2:55" ht="16.5" customHeight="1">
      <c r="C99" s="526"/>
      <c r="D99" s="557"/>
      <c r="E99" s="558"/>
      <c r="F99" s="558"/>
      <c r="G99" s="559"/>
      <c r="H99" s="523"/>
      <c r="I99" s="560"/>
      <c r="J99" s="553" t="s">
        <v>624</v>
      </c>
      <c r="K99" s="554"/>
      <c r="L99" s="554"/>
      <c r="M99" s="554"/>
      <c r="N99" s="554"/>
      <c r="O99" s="554"/>
      <c r="P99" s="554"/>
      <c r="Q99" s="555"/>
      <c r="R99" s="553"/>
      <c r="S99" s="554"/>
      <c r="T99" s="554"/>
      <c r="U99" s="554"/>
      <c r="V99" s="555"/>
      <c r="W99" s="560"/>
      <c r="X99" s="588"/>
    </row>
    <row r="100" spans="2:55" ht="29.25" customHeight="1">
      <c r="C100" s="526"/>
      <c r="D100" s="557"/>
      <c r="E100" s="558"/>
      <c r="F100" s="558"/>
      <c r="G100" s="559"/>
      <c r="H100" s="523"/>
      <c r="I100" s="560"/>
      <c r="J100" s="545" t="s">
        <v>625</v>
      </c>
      <c r="K100" s="545" t="s">
        <v>126</v>
      </c>
      <c r="L100" s="545" t="s">
        <v>125</v>
      </c>
      <c r="M100" s="545" t="s">
        <v>124</v>
      </c>
      <c r="N100" s="545" t="s">
        <v>123</v>
      </c>
      <c r="O100" s="545" t="s">
        <v>122</v>
      </c>
      <c r="P100" s="545" t="s">
        <v>121</v>
      </c>
      <c r="Q100" s="545" t="s">
        <v>626</v>
      </c>
      <c r="R100" s="553" t="s">
        <v>627</v>
      </c>
      <c r="S100" s="554"/>
      <c r="T100" s="554"/>
      <c r="U100" s="554"/>
      <c r="V100" s="555"/>
      <c r="W100" s="560"/>
      <c r="X100" s="588"/>
    </row>
    <row r="101" spans="2:55" ht="29.25" customHeight="1">
      <c r="C101" s="556"/>
      <c r="D101" s="553"/>
      <c r="E101" s="554"/>
      <c r="F101" s="554"/>
      <c r="G101" s="555"/>
      <c r="H101" s="523"/>
      <c r="I101" s="560"/>
      <c r="J101" s="546"/>
      <c r="K101" s="546"/>
      <c r="L101" s="546"/>
      <c r="M101" s="546"/>
      <c r="N101" s="546"/>
      <c r="O101" s="546"/>
      <c r="P101" s="546"/>
      <c r="Q101" s="546"/>
      <c r="R101" s="11" t="s">
        <v>8</v>
      </c>
      <c r="S101" s="11" t="s">
        <v>7</v>
      </c>
      <c r="T101" s="11" t="s">
        <v>6</v>
      </c>
      <c r="U101" s="11" t="s">
        <v>5</v>
      </c>
      <c r="V101" s="11" t="s">
        <v>4</v>
      </c>
      <c r="W101" s="560"/>
      <c r="X101" s="588"/>
    </row>
    <row r="102" spans="2:55">
      <c r="C102" s="5">
        <v>1</v>
      </c>
      <c r="D102" s="540"/>
      <c r="E102" s="541"/>
      <c r="F102" s="541"/>
      <c r="G102" s="542"/>
      <c r="H102" s="5"/>
      <c r="I102" s="5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56">
        <f t="shared" ref="X102:X107" si="41">IF(J102&lt;&gt;"",12,IF(K102&lt;&gt;"",10,IF(L102&lt;&gt;"",8,IF(M102&lt;&gt;"",7,IF(N102&lt;&gt;"",5,IF(O102&lt;&gt;"",3,IF(P102&lt;&gt;"",2,IF(Q102&lt;&gt;"",1,IF(R102&lt;&gt;"",7,IF(S102&lt;&gt;"",5,IF(T102&lt;&gt;"",3,IF(U102&lt;&gt;"",2,IF(V102&lt;&gt;"",1,IF(W102&lt;&gt;"",3,0))))))))))))))</f>
        <v>0</v>
      </c>
    </row>
    <row r="103" spans="2:55">
      <c r="C103" s="5">
        <v>2</v>
      </c>
      <c r="D103" s="540"/>
      <c r="E103" s="541"/>
      <c r="F103" s="541"/>
      <c r="G103" s="542"/>
      <c r="H103" s="5"/>
      <c r="I103" s="5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56">
        <f t="shared" si="41"/>
        <v>0</v>
      </c>
    </row>
    <row r="104" spans="2:55">
      <c r="C104" s="5">
        <v>3</v>
      </c>
      <c r="D104" s="540"/>
      <c r="E104" s="541"/>
      <c r="F104" s="541"/>
      <c r="G104" s="542"/>
      <c r="H104" s="5"/>
      <c r="I104" s="5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56">
        <f t="shared" si="41"/>
        <v>0</v>
      </c>
    </row>
    <row r="105" spans="2:55">
      <c r="C105" s="5">
        <v>4</v>
      </c>
      <c r="D105" s="540"/>
      <c r="E105" s="541"/>
      <c r="F105" s="541"/>
      <c r="G105" s="542"/>
      <c r="H105" s="5"/>
      <c r="I105" s="5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56">
        <f t="shared" si="41"/>
        <v>0</v>
      </c>
    </row>
    <row r="106" spans="2:55">
      <c r="C106" s="5">
        <v>5</v>
      </c>
      <c r="D106" s="540"/>
      <c r="E106" s="541"/>
      <c r="F106" s="541"/>
      <c r="G106" s="542"/>
      <c r="H106" s="5"/>
      <c r="I106" s="5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56">
        <f t="shared" si="41"/>
        <v>0</v>
      </c>
    </row>
    <row r="107" spans="2:55" ht="14.25">
      <c r="C107" s="5">
        <v>6</v>
      </c>
      <c r="D107" s="540"/>
      <c r="E107" s="541"/>
      <c r="F107" s="541"/>
      <c r="G107" s="542"/>
      <c r="H107" s="5"/>
      <c r="I107" s="5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56">
        <f t="shared" si="41"/>
        <v>0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</row>
    <row r="108" spans="2:55" ht="14.25">
      <c r="C108" s="506" t="s">
        <v>628</v>
      </c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  <c r="R108" s="507"/>
      <c r="S108" s="507"/>
      <c r="T108" s="507"/>
      <c r="U108" s="507"/>
      <c r="V108" s="507"/>
      <c r="W108" s="508"/>
      <c r="X108" s="150">
        <f>SUM(X102:X107)</f>
        <v>0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</row>
    <row r="109" spans="2:55" ht="14.25"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</row>
    <row r="110" spans="2:55">
      <c r="B110" s="1" t="s">
        <v>629</v>
      </c>
    </row>
    <row r="111" spans="2:55" ht="27.75" customHeight="1">
      <c r="C111" s="525" t="s">
        <v>374</v>
      </c>
      <c r="D111" s="550" t="s">
        <v>630</v>
      </c>
      <c r="E111" s="551"/>
      <c r="F111" s="551"/>
      <c r="G111" s="551"/>
      <c r="H111" s="551"/>
      <c r="I111" s="551"/>
      <c r="J111" s="551"/>
      <c r="K111" s="550" t="s">
        <v>653</v>
      </c>
      <c r="L111" s="552"/>
      <c r="M111" s="582" t="s">
        <v>654</v>
      </c>
      <c r="N111" s="583"/>
      <c r="O111" s="583"/>
      <c r="P111" s="583"/>
      <c r="Q111" s="583"/>
      <c r="R111" s="583"/>
      <c r="S111" s="583"/>
      <c r="T111" s="583"/>
      <c r="U111" s="583"/>
      <c r="V111" s="583"/>
      <c r="W111" s="584"/>
      <c r="X111" s="576" t="s">
        <v>623</v>
      </c>
    </row>
    <row r="112" spans="2:55" ht="80.45" customHeight="1">
      <c r="C112" s="526"/>
      <c r="D112" s="553"/>
      <c r="E112" s="554"/>
      <c r="F112" s="554"/>
      <c r="G112" s="554"/>
      <c r="H112" s="554"/>
      <c r="I112" s="554"/>
      <c r="J112" s="554"/>
      <c r="K112" s="553"/>
      <c r="L112" s="555"/>
      <c r="M112" s="585" t="s">
        <v>631</v>
      </c>
      <c r="N112" s="586"/>
      <c r="O112" s="151" t="s">
        <v>623</v>
      </c>
      <c r="P112" s="577" t="s">
        <v>632</v>
      </c>
      <c r="Q112" s="587"/>
      <c r="R112" s="145" t="s">
        <v>623</v>
      </c>
      <c r="S112" s="577" t="s">
        <v>633</v>
      </c>
      <c r="T112" s="578"/>
      <c r="U112" s="144" t="s">
        <v>623</v>
      </c>
      <c r="V112" s="215" t="s">
        <v>634</v>
      </c>
      <c r="W112" s="144" t="s">
        <v>623</v>
      </c>
      <c r="X112" s="576"/>
      <c r="BB112" s="1" t="s">
        <v>333</v>
      </c>
      <c r="BC112" s="1" t="s">
        <v>334</v>
      </c>
    </row>
    <row r="113" spans="1:64" ht="12.75" customHeight="1">
      <c r="C113" s="5">
        <v>1</v>
      </c>
      <c r="D113" s="571"/>
      <c r="E113" s="581"/>
      <c r="F113" s="581"/>
      <c r="G113" s="581"/>
      <c r="H113" s="581"/>
      <c r="I113" s="581"/>
      <c r="J113" s="581"/>
      <c r="K113" s="579"/>
      <c r="L113" s="580"/>
      <c r="M113" s="567"/>
      <c r="N113" s="568"/>
      <c r="O113" s="105"/>
      <c r="P113" s="569"/>
      <c r="Q113" s="570"/>
      <c r="R113" s="146">
        <f>+IF(P113&lt;&gt;"",2,0)</f>
        <v>0</v>
      </c>
      <c r="S113" s="148"/>
      <c r="T113" s="147"/>
      <c r="U113" s="111"/>
      <c r="V113" s="148"/>
      <c r="W113" s="111">
        <f>IF(V113="",0,IF(V113="จดอนุสิทธิบัตร",3,IF(V113="จดสิทธิบัตร",5,IF(V113="รางวัลระดับชาติ",3,5))))</f>
        <v>0</v>
      </c>
      <c r="X113" s="149">
        <f>+O113+R113+U113+W113</f>
        <v>0</v>
      </c>
      <c r="BB113" s="1">
        <f>IF(S113="",0,IF(T113="Other",0,IF(S113="National",3,5)))</f>
        <v>0</v>
      </c>
      <c r="BC113" s="1">
        <f>IF(T113="",0,IF(T113="First Author/Corresponding",0,IF(S113="ชาติ",2,4)))</f>
        <v>0</v>
      </c>
      <c r="BH113" s="1" t="s">
        <v>129</v>
      </c>
      <c r="BI113" s="1" t="s">
        <v>635</v>
      </c>
      <c r="BL113" s="1" t="s">
        <v>643</v>
      </c>
    </row>
    <row r="114" spans="1:64" ht="14.25">
      <c r="C114" s="5">
        <v>2</v>
      </c>
      <c r="D114" s="571"/>
      <c r="E114" s="572"/>
      <c r="F114" s="572"/>
      <c r="G114" s="572"/>
      <c r="H114" s="572"/>
      <c r="I114" s="572"/>
      <c r="J114" s="572"/>
      <c r="K114" s="540"/>
      <c r="L114" s="542"/>
      <c r="M114" s="567"/>
      <c r="N114" s="568"/>
      <c r="O114" s="105"/>
      <c r="P114" s="569"/>
      <c r="Q114" s="570"/>
      <c r="R114" s="146">
        <f t="shared" ref="R114:R118" si="42">+IF(P114&lt;&gt;"",2,0)</f>
        <v>0</v>
      </c>
      <c r="S114" s="148"/>
      <c r="T114" s="147"/>
      <c r="U114" s="111">
        <f t="shared" ref="U114:U118" si="43">SUM(BB114:BC114)</f>
        <v>0</v>
      </c>
      <c r="V114" s="148"/>
      <c r="W114" s="111">
        <f t="shared" ref="W114:W118" si="44">IF(V114="",0,IF(V114="จดอนุสิทธิบัตร",3,IF(V114="จดสิทธิบัตร",5,IF(V114="รางวัลระดับชาติ",3,5))))</f>
        <v>0</v>
      </c>
      <c r="X114" s="149">
        <f t="shared" ref="X114:X118" si="45">+O114+R114+U114+W114</f>
        <v>0</v>
      </c>
      <c r="BB114" s="1">
        <f t="shared" ref="BB114:BB118" si="46">IF(S114="",0,IF(T114="Other",0,IF(S114="National",3,5)))</f>
        <v>0</v>
      </c>
      <c r="BC114" s="1">
        <f t="shared" ref="BC114:BC118" si="47">IF(T114="",0,IF(T114="First Author/Corresponding",0,IF(S114="ชาติ",2,4)))</f>
        <v>0</v>
      </c>
      <c r="BH114" s="1" t="s">
        <v>115</v>
      </c>
      <c r="BI114" s="1" t="s">
        <v>636</v>
      </c>
      <c r="BL114" s="1" t="s">
        <v>644</v>
      </c>
    </row>
    <row r="115" spans="1:64" ht="14.25">
      <c r="C115" s="5"/>
      <c r="D115" s="571"/>
      <c r="E115" s="572"/>
      <c r="F115" s="572"/>
      <c r="G115" s="572"/>
      <c r="H115" s="572"/>
      <c r="I115" s="572"/>
      <c r="J115" s="572"/>
      <c r="K115" s="540"/>
      <c r="L115" s="542"/>
      <c r="M115" s="567"/>
      <c r="N115" s="568"/>
      <c r="O115" s="105"/>
      <c r="P115" s="569"/>
      <c r="Q115" s="570"/>
      <c r="R115" s="146">
        <f t="shared" si="42"/>
        <v>0</v>
      </c>
      <c r="S115" s="148"/>
      <c r="T115" s="147"/>
      <c r="U115" s="111">
        <f t="shared" si="43"/>
        <v>0</v>
      </c>
      <c r="V115" s="148"/>
      <c r="W115" s="111">
        <f t="shared" si="44"/>
        <v>0</v>
      </c>
      <c r="X115" s="149">
        <f t="shared" si="45"/>
        <v>0</v>
      </c>
      <c r="BB115" s="1">
        <f t="shared" si="46"/>
        <v>0</v>
      </c>
      <c r="BC115" s="1">
        <f t="shared" si="47"/>
        <v>0</v>
      </c>
      <c r="BH115" s="1" t="s">
        <v>130</v>
      </c>
      <c r="BI115" s="1" t="s">
        <v>637</v>
      </c>
      <c r="BL115" s="1" t="s">
        <v>645</v>
      </c>
    </row>
    <row r="116" spans="1:64" ht="14.25">
      <c r="C116" s="5"/>
      <c r="D116" s="571"/>
      <c r="E116" s="572"/>
      <c r="F116" s="572"/>
      <c r="G116" s="572"/>
      <c r="H116" s="572"/>
      <c r="I116" s="572"/>
      <c r="J116" s="572"/>
      <c r="K116" s="540"/>
      <c r="L116" s="542"/>
      <c r="M116" s="567"/>
      <c r="N116" s="568"/>
      <c r="O116" s="105"/>
      <c r="P116" s="569"/>
      <c r="Q116" s="570"/>
      <c r="R116" s="146">
        <f t="shared" si="42"/>
        <v>0</v>
      </c>
      <c r="S116" s="148"/>
      <c r="T116" s="147"/>
      <c r="U116" s="111"/>
      <c r="V116" s="148"/>
      <c r="W116" s="111">
        <f>IF(V116="",0,IF(V116="petty patented",3,IF(V116="patented",5,IF(V116="national reward",3,5))))</f>
        <v>0</v>
      </c>
      <c r="X116" s="149">
        <f t="shared" si="45"/>
        <v>0</v>
      </c>
      <c r="BB116" s="1">
        <f t="shared" si="46"/>
        <v>0</v>
      </c>
      <c r="BC116" s="1">
        <f t="shared" si="47"/>
        <v>0</v>
      </c>
      <c r="BH116" s="1" t="s">
        <v>131</v>
      </c>
      <c r="BI116" s="1" t="s">
        <v>131</v>
      </c>
      <c r="BL116" s="1" t="s">
        <v>646</v>
      </c>
    </row>
    <row r="117" spans="1:64" ht="14.25">
      <c r="C117" s="5"/>
      <c r="D117" s="571"/>
      <c r="E117" s="572"/>
      <c r="F117" s="572"/>
      <c r="G117" s="572"/>
      <c r="H117" s="572"/>
      <c r="I117" s="572"/>
      <c r="J117" s="572"/>
      <c r="K117" s="540"/>
      <c r="L117" s="542"/>
      <c r="M117" s="567"/>
      <c r="N117" s="568"/>
      <c r="O117" s="105"/>
      <c r="P117" s="569"/>
      <c r="Q117" s="570"/>
      <c r="R117" s="146">
        <f t="shared" si="42"/>
        <v>0</v>
      </c>
      <c r="S117" s="148"/>
      <c r="T117" s="147"/>
      <c r="U117" s="111">
        <f t="shared" si="43"/>
        <v>0</v>
      </c>
      <c r="V117" s="148"/>
      <c r="W117" s="111">
        <f t="shared" si="44"/>
        <v>0</v>
      </c>
      <c r="X117" s="149">
        <f t="shared" si="45"/>
        <v>0</v>
      </c>
      <c r="BB117" s="1">
        <f t="shared" si="46"/>
        <v>0</v>
      </c>
      <c r="BC117" s="1">
        <f t="shared" si="47"/>
        <v>0</v>
      </c>
      <c r="BH117" s="1" t="s">
        <v>132</v>
      </c>
      <c r="BI117" s="1" t="s">
        <v>638</v>
      </c>
      <c r="BL117" s="1" t="s">
        <v>647</v>
      </c>
    </row>
    <row r="118" spans="1:64" ht="14.25">
      <c r="C118" s="5"/>
      <c r="D118" s="571"/>
      <c r="E118" s="572"/>
      <c r="F118" s="572"/>
      <c r="G118" s="572"/>
      <c r="H118" s="572"/>
      <c r="I118" s="572"/>
      <c r="J118" s="572"/>
      <c r="K118" s="540"/>
      <c r="L118" s="542"/>
      <c r="M118" s="567"/>
      <c r="N118" s="568"/>
      <c r="O118" s="105"/>
      <c r="P118" s="569"/>
      <c r="Q118" s="570"/>
      <c r="R118" s="146">
        <f t="shared" si="42"/>
        <v>0</v>
      </c>
      <c r="S118" s="148"/>
      <c r="T118" s="147"/>
      <c r="U118" s="111">
        <f t="shared" si="43"/>
        <v>0</v>
      </c>
      <c r="V118" s="148"/>
      <c r="W118" s="111">
        <f t="shared" si="44"/>
        <v>0</v>
      </c>
      <c r="X118" s="149">
        <f t="shared" si="45"/>
        <v>0</v>
      </c>
      <c r="BB118" s="1">
        <f t="shared" si="46"/>
        <v>0</v>
      </c>
      <c r="BC118" s="1">
        <f t="shared" si="47"/>
        <v>0</v>
      </c>
      <c r="BH118" s="1" t="s">
        <v>133</v>
      </c>
      <c r="BI118" s="1" t="s">
        <v>639</v>
      </c>
      <c r="BL118" s="1" t="s">
        <v>648</v>
      </c>
    </row>
    <row r="119" spans="1:64">
      <c r="C119" s="715" t="s">
        <v>650</v>
      </c>
      <c r="D119" s="716"/>
      <c r="E119" s="716"/>
      <c r="F119" s="716"/>
      <c r="G119" s="716"/>
      <c r="H119" s="716"/>
      <c r="I119" s="716"/>
      <c r="J119" s="716"/>
      <c r="K119" s="716"/>
      <c r="L119" s="716"/>
      <c r="M119" s="716"/>
      <c r="N119" s="716"/>
      <c r="O119" s="716"/>
      <c r="P119" s="716"/>
      <c r="Q119" s="716"/>
      <c r="R119" s="716"/>
      <c r="S119" s="716"/>
      <c r="T119" s="716"/>
      <c r="U119" s="716"/>
      <c r="V119" s="716"/>
      <c r="W119" s="717"/>
      <c r="X119" s="150">
        <f>SUM(X113:X118)</f>
        <v>0</v>
      </c>
      <c r="BH119" s="1" t="s">
        <v>134</v>
      </c>
      <c r="BI119" s="1" t="s">
        <v>640</v>
      </c>
    </row>
    <row r="120" spans="1:64" s="18" customFormat="1">
      <c r="C120" s="141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39"/>
      <c r="BH120" s="18" t="s">
        <v>135</v>
      </c>
      <c r="BI120" s="18" t="s">
        <v>641</v>
      </c>
    </row>
    <row r="121" spans="1:64">
      <c r="BH121" s="1" t="s">
        <v>153</v>
      </c>
      <c r="BI121" s="1" t="s">
        <v>642</v>
      </c>
    </row>
    <row r="122" spans="1:64">
      <c r="A122" s="1" t="s">
        <v>651</v>
      </c>
    </row>
    <row r="124" spans="1:64">
      <c r="B124" s="1" t="s">
        <v>652</v>
      </c>
    </row>
    <row r="125" spans="1:64" ht="39" customHeight="1">
      <c r="C125" s="525" t="s">
        <v>374</v>
      </c>
      <c r="D125" s="550" t="s">
        <v>655</v>
      </c>
      <c r="E125" s="551"/>
      <c r="F125" s="551"/>
      <c r="G125" s="551"/>
      <c r="H125" s="551"/>
      <c r="I125" s="552"/>
      <c r="J125" s="575" t="s">
        <v>656</v>
      </c>
      <c r="K125" s="720" t="s">
        <v>657</v>
      </c>
      <c r="L125" s="721"/>
      <c r="M125" s="721"/>
      <c r="N125" s="721"/>
      <c r="O125" s="721"/>
      <c r="P125" s="721"/>
      <c r="Q125" s="721"/>
      <c r="R125" s="721"/>
      <c r="S125" s="721"/>
      <c r="T125" s="721"/>
      <c r="U125" s="722"/>
      <c r="V125" s="573" t="s">
        <v>623</v>
      </c>
      <c r="BC125" s="1" t="s">
        <v>659</v>
      </c>
      <c r="BD125" s="1">
        <v>2</v>
      </c>
    </row>
    <row r="126" spans="1:64" ht="39" customHeight="1">
      <c r="C126" s="526"/>
      <c r="D126" s="553"/>
      <c r="E126" s="554"/>
      <c r="F126" s="554"/>
      <c r="G126" s="554"/>
      <c r="H126" s="554"/>
      <c r="I126" s="555"/>
      <c r="J126" s="546"/>
      <c r="K126" s="720" t="s">
        <v>658</v>
      </c>
      <c r="L126" s="721"/>
      <c r="M126" s="721"/>
      <c r="N126" s="721"/>
      <c r="O126" s="721"/>
      <c r="P126" s="721"/>
      <c r="Q126" s="722"/>
      <c r="R126" s="216" t="s">
        <v>623</v>
      </c>
      <c r="S126" s="153" t="s">
        <v>671</v>
      </c>
      <c r="T126" s="153" t="s">
        <v>672</v>
      </c>
      <c r="U126" s="217" t="s">
        <v>623</v>
      </c>
      <c r="V126" s="574"/>
      <c r="BC126" s="1" t="s">
        <v>660</v>
      </c>
      <c r="BD126" s="1">
        <v>1</v>
      </c>
    </row>
    <row r="127" spans="1:64">
      <c r="C127" s="5">
        <v>1</v>
      </c>
      <c r="D127" s="37"/>
      <c r="E127" s="34"/>
      <c r="F127" s="34"/>
      <c r="G127" s="34"/>
      <c r="H127" s="34"/>
      <c r="I127" s="143"/>
      <c r="J127" s="5"/>
      <c r="K127" s="718"/>
      <c r="L127" s="719"/>
      <c r="M127" s="719"/>
      <c r="N127" s="719"/>
      <c r="O127" s="719"/>
      <c r="P127" s="719"/>
      <c r="Q127" s="719"/>
      <c r="R127" s="146">
        <f t="shared" ref="R127:R136" si="48">IF(K127="",0,J127*(VLOOKUP(K127,$BC$125:$BD$136,2,FALSE)))</f>
        <v>0</v>
      </c>
      <c r="S127" s="152"/>
      <c r="T127" s="154"/>
      <c r="U127" s="155"/>
      <c r="V127" s="150">
        <f t="shared" ref="V127:V136" si="49">+R127+U127</f>
        <v>0</v>
      </c>
      <c r="BC127" s="1" t="s">
        <v>661</v>
      </c>
      <c r="BD127" s="1">
        <v>0.2</v>
      </c>
    </row>
    <row r="128" spans="1:64">
      <c r="C128" s="5">
        <v>2</v>
      </c>
      <c r="D128" s="37"/>
      <c r="E128" s="34"/>
      <c r="F128" s="34"/>
      <c r="G128" s="34"/>
      <c r="H128" s="34"/>
      <c r="I128" s="143"/>
      <c r="J128" s="5"/>
      <c r="K128" s="718"/>
      <c r="L128" s="719"/>
      <c r="M128" s="719"/>
      <c r="N128" s="719"/>
      <c r="O128" s="719"/>
      <c r="P128" s="719"/>
      <c r="Q128" s="719"/>
      <c r="R128" s="146">
        <f t="shared" si="48"/>
        <v>0</v>
      </c>
      <c r="S128" s="152"/>
      <c r="T128" s="154"/>
      <c r="U128" s="155"/>
      <c r="V128" s="150">
        <f t="shared" si="49"/>
        <v>0</v>
      </c>
      <c r="BC128" s="1" t="s">
        <v>662</v>
      </c>
      <c r="BD128" s="1">
        <v>0.3</v>
      </c>
    </row>
    <row r="129" spans="2:56">
      <c r="C129" s="5">
        <v>3</v>
      </c>
      <c r="D129" s="37"/>
      <c r="E129" s="34"/>
      <c r="F129" s="34"/>
      <c r="G129" s="34"/>
      <c r="H129" s="34"/>
      <c r="I129" s="143"/>
      <c r="J129" s="5"/>
      <c r="K129" s="718"/>
      <c r="L129" s="719"/>
      <c r="M129" s="719"/>
      <c r="N129" s="719"/>
      <c r="O129" s="719"/>
      <c r="P129" s="719"/>
      <c r="Q129" s="719"/>
      <c r="R129" s="146">
        <f t="shared" si="48"/>
        <v>0</v>
      </c>
      <c r="S129" s="152"/>
      <c r="T129" s="154"/>
      <c r="U129" s="155"/>
      <c r="V129" s="150">
        <f t="shared" si="49"/>
        <v>0</v>
      </c>
      <c r="BC129" s="1" t="s">
        <v>663</v>
      </c>
      <c r="BD129" s="1">
        <v>0.5</v>
      </c>
    </row>
    <row r="130" spans="2:56">
      <c r="C130" s="5">
        <v>4</v>
      </c>
      <c r="D130" s="37"/>
      <c r="E130" s="34"/>
      <c r="F130" s="34"/>
      <c r="G130" s="34"/>
      <c r="H130" s="34"/>
      <c r="I130" s="143"/>
      <c r="J130" s="5"/>
      <c r="K130" s="718"/>
      <c r="L130" s="719"/>
      <c r="M130" s="719"/>
      <c r="N130" s="719"/>
      <c r="O130" s="719"/>
      <c r="P130" s="719"/>
      <c r="Q130" s="719"/>
      <c r="R130" s="146">
        <f t="shared" si="48"/>
        <v>0</v>
      </c>
      <c r="S130" s="152"/>
      <c r="T130" s="154"/>
      <c r="U130" s="155"/>
      <c r="V130" s="150">
        <f t="shared" si="49"/>
        <v>0</v>
      </c>
      <c r="BC130" s="1" t="s">
        <v>664</v>
      </c>
      <c r="BD130" s="1">
        <v>0.6</v>
      </c>
    </row>
    <row r="131" spans="2:56">
      <c r="C131" s="5">
        <v>5</v>
      </c>
      <c r="D131" s="37"/>
      <c r="E131" s="34"/>
      <c r="F131" s="34"/>
      <c r="G131" s="34"/>
      <c r="H131" s="34"/>
      <c r="I131" s="143"/>
      <c r="J131" s="5"/>
      <c r="K131" s="718"/>
      <c r="L131" s="719"/>
      <c r="M131" s="719"/>
      <c r="N131" s="719"/>
      <c r="O131" s="719"/>
      <c r="P131" s="719"/>
      <c r="Q131" s="719"/>
      <c r="R131" s="146">
        <f t="shared" si="48"/>
        <v>0</v>
      </c>
      <c r="S131" s="152"/>
      <c r="T131" s="154"/>
      <c r="U131" s="155"/>
      <c r="V131" s="150">
        <f t="shared" si="49"/>
        <v>0</v>
      </c>
      <c r="BC131" s="1" t="s">
        <v>665</v>
      </c>
      <c r="BD131" s="1">
        <v>1</v>
      </c>
    </row>
    <row r="132" spans="2:56">
      <c r="C132" s="5">
        <v>6</v>
      </c>
      <c r="D132" s="37"/>
      <c r="E132" s="34"/>
      <c r="F132" s="34"/>
      <c r="G132" s="34"/>
      <c r="H132" s="34"/>
      <c r="I132" s="143"/>
      <c r="J132" s="5"/>
      <c r="K132" s="718"/>
      <c r="L132" s="719"/>
      <c r="M132" s="719"/>
      <c r="N132" s="719"/>
      <c r="O132" s="719"/>
      <c r="P132" s="719"/>
      <c r="Q132" s="719"/>
      <c r="R132" s="146">
        <f t="shared" si="48"/>
        <v>0</v>
      </c>
      <c r="S132" s="152"/>
      <c r="T132" s="154"/>
      <c r="U132" s="155"/>
      <c r="V132" s="150">
        <f t="shared" si="49"/>
        <v>0</v>
      </c>
      <c r="BC132" s="1" t="s">
        <v>666</v>
      </c>
      <c r="BD132" s="1">
        <v>5</v>
      </c>
    </row>
    <row r="133" spans="2:56">
      <c r="C133" s="5">
        <v>7</v>
      </c>
      <c r="D133" s="37"/>
      <c r="E133" s="34"/>
      <c r="F133" s="34"/>
      <c r="G133" s="34"/>
      <c r="H133" s="34"/>
      <c r="I133" s="143"/>
      <c r="J133" s="5"/>
      <c r="K133" s="718"/>
      <c r="L133" s="719"/>
      <c r="M133" s="719"/>
      <c r="N133" s="719"/>
      <c r="O133" s="719"/>
      <c r="P133" s="719"/>
      <c r="Q133" s="719"/>
      <c r="R133" s="146">
        <f t="shared" si="48"/>
        <v>0</v>
      </c>
      <c r="S133" s="152"/>
      <c r="T133" s="154"/>
      <c r="U133" s="155"/>
      <c r="V133" s="150">
        <f t="shared" si="49"/>
        <v>0</v>
      </c>
      <c r="BC133" s="1" t="s">
        <v>667</v>
      </c>
      <c r="BD133" s="1">
        <v>3</v>
      </c>
    </row>
    <row r="134" spans="2:56">
      <c r="C134" s="5">
        <v>8</v>
      </c>
      <c r="D134" s="37"/>
      <c r="E134" s="34"/>
      <c r="F134" s="34"/>
      <c r="G134" s="34"/>
      <c r="H134" s="34"/>
      <c r="I134" s="143"/>
      <c r="J134" s="5"/>
      <c r="K134" s="718"/>
      <c r="L134" s="719"/>
      <c r="M134" s="719"/>
      <c r="N134" s="719"/>
      <c r="O134" s="719"/>
      <c r="P134" s="719"/>
      <c r="Q134" s="719"/>
      <c r="R134" s="146">
        <f t="shared" si="48"/>
        <v>0</v>
      </c>
      <c r="S134" s="152"/>
      <c r="T134" s="154"/>
      <c r="U134" s="155"/>
      <c r="V134" s="150">
        <f t="shared" si="49"/>
        <v>0</v>
      </c>
      <c r="BC134" s="1" t="s">
        <v>668</v>
      </c>
      <c r="BD134" s="1">
        <v>0.15</v>
      </c>
    </row>
    <row r="135" spans="2:56">
      <c r="C135" s="5">
        <v>9</v>
      </c>
      <c r="D135" s="37"/>
      <c r="E135" s="34"/>
      <c r="F135" s="34"/>
      <c r="G135" s="34"/>
      <c r="H135" s="34"/>
      <c r="I135" s="143"/>
      <c r="J135" s="5"/>
      <c r="K135" s="718"/>
      <c r="L135" s="719"/>
      <c r="M135" s="719"/>
      <c r="N135" s="719"/>
      <c r="O135" s="719"/>
      <c r="P135" s="719"/>
      <c r="Q135" s="719"/>
      <c r="R135" s="146">
        <f t="shared" si="48"/>
        <v>0</v>
      </c>
      <c r="S135" s="152"/>
      <c r="T135" s="154"/>
      <c r="U135" s="155"/>
      <c r="V135" s="150">
        <f t="shared" si="49"/>
        <v>0</v>
      </c>
      <c r="BC135" s="1" t="s">
        <v>669</v>
      </c>
      <c r="BD135" s="1">
        <v>0.3</v>
      </c>
    </row>
    <row r="136" spans="2:56">
      <c r="C136" s="5">
        <v>10</v>
      </c>
      <c r="D136" s="37"/>
      <c r="E136" s="34"/>
      <c r="F136" s="34"/>
      <c r="G136" s="34"/>
      <c r="H136" s="34"/>
      <c r="I136" s="143"/>
      <c r="J136" s="5"/>
      <c r="K136" s="718"/>
      <c r="L136" s="719"/>
      <c r="M136" s="719"/>
      <c r="N136" s="719"/>
      <c r="O136" s="719"/>
      <c r="P136" s="719"/>
      <c r="Q136" s="719"/>
      <c r="R136" s="146">
        <f t="shared" si="48"/>
        <v>0</v>
      </c>
      <c r="S136" s="152"/>
      <c r="T136" s="154"/>
      <c r="U136" s="155"/>
      <c r="V136" s="150">
        <f t="shared" si="49"/>
        <v>0</v>
      </c>
      <c r="BC136" s="1" t="s">
        <v>670</v>
      </c>
    </row>
    <row r="137" spans="2:56">
      <c r="C137" s="715" t="s">
        <v>673</v>
      </c>
      <c r="D137" s="716"/>
      <c r="E137" s="716"/>
      <c r="F137" s="716"/>
      <c r="G137" s="716"/>
      <c r="H137" s="716"/>
      <c r="I137" s="716"/>
      <c r="J137" s="716"/>
      <c r="K137" s="716"/>
      <c r="L137" s="716"/>
      <c r="M137" s="716"/>
      <c r="N137" s="716"/>
      <c r="O137" s="716"/>
      <c r="P137" s="716"/>
      <c r="Q137" s="716"/>
      <c r="R137" s="716"/>
      <c r="S137" s="716"/>
      <c r="T137" s="716"/>
      <c r="U137" s="717"/>
      <c r="V137" s="150">
        <f>SUM(V127:V136)</f>
        <v>0</v>
      </c>
    </row>
    <row r="138" spans="2:56">
      <c r="C138" s="141" t="s">
        <v>338</v>
      </c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</row>
    <row r="140" spans="2:56" s="42" customFormat="1">
      <c r="B140" s="16" t="s">
        <v>674</v>
      </c>
    </row>
    <row r="141" spans="2:56" ht="16.5" customHeight="1">
      <c r="C141" s="525" t="s">
        <v>374</v>
      </c>
      <c r="D141" s="550" t="s">
        <v>655</v>
      </c>
      <c r="E141" s="551"/>
      <c r="F141" s="551"/>
      <c r="G141" s="552"/>
      <c r="H141" s="523" t="s">
        <v>675</v>
      </c>
      <c r="I141" s="560" t="s">
        <v>676</v>
      </c>
      <c r="J141" s="561" t="s">
        <v>677</v>
      </c>
      <c r="K141" s="562"/>
      <c r="L141" s="547" t="s">
        <v>678</v>
      </c>
      <c r="M141" s="550" t="s">
        <v>679</v>
      </c>
      <c r="N141" s="551"/>
      <c r="O141" s="551"/>
      <c r="P141" s="551"/>
      <c r="Q141" s="551"/>
      <c r="R141" s="551"/>
      <c r="S141" s="551"/>
      <c r="T141" s="552"/>
      <c r="U141" s="539" t="s">
        <v>581</v>
      </c>
    </row>
    <row r="142" spans="2:56" ht="16.5" customHeight="1">
      <c r="C142" s="526"/>
      <c r="D142" s="557"/>
      <c r="E142" s="558"/>
      <c r="F142" s="558"/>
      <c r="G142" s="559"/>
      <c r="H142" s="523"/>
      <c r="I142" s="560"/>
      <c r="J142" s="563"/>
      <c r="K142" s="564"/>
      <c r="L142" s="548"/>
      <c r="M142" s="553"/>
      <c r="N142" s="554"/>
      <c r="O142" s="554"/>
      <c r="P142" s="554"/>
      <c r="Q142" s="554"/>
      <c r="R142" s="554"/>
      <c r="S142" s="554"/>
      <c r="T142" s="555"/>
      <c r="U142" s="539"/>
    </row>
    <row r="143" spans="2:56" ht="29.25" customHeight="1">
      <c r="C143" s="526"/>
      <c r="D143" s="557"/>
      <c r="E143" s="558"/>
      <c r="F143" s="558"/>
      <c r="G143" s="559"/>
      <c r="H143" s="523"/>
      <c r="I143" s="560"/>
      <c r="J143" s="563"/>
      <c r="K143" s="564"/>
      <c r="L143" s="548"/>
      <c r="M143" s="545" t="s">
        <v>680</v>
      </c>
      <c r="N143" s="545" t="s">
        <v>126</v>
      </c>
      <c r="O143" s="545" t="s">
        <v>125</v>
      </c>
      <c r="P143" s="545" t="s">
        <v>124</v>
      </c>
      <c r="Q143" s="545" t="s">
        <v>123</v>
      </c>
      <c r="R143" s="545" t="s">
        <v>122</v>
      </c>
      <c r="S143" s="545" t="s">
        <v>121</v>
      </c>
      <c r="T143" s="545" t="s">
        <v>681</v>
      </c>
      <c r="U143" s="539"/>
    </row>
    <row r="144" spans="2:56" ht="10.15" customHeight="1">
      <c r="C144" s="556"/>
      <c r="D144" s="553"/>
      <c r="E144" s="554"/>
      <c r="F144" s="554"/>
      <c r="G144" s="555"/>
      <c r="H144" s="523"/>
      <c r="I144" s="560"/>
      <c r="J144" s="565"/>
      <c r="K144" s="566"/>
      <c r="L144" s="549"/>
      <c r="M144" s="546"/>
      <c r="N144" s="546"/>
      <c r="O144" s="546"/>
      <c r="P144" s="546"/>
      <c r="Q144" s="546"/>
      <c r="R144" s="546"/>
      <c r="S144" s="546"/>
      <c r="T144" s="546"/>
      <c r="U144" s="539"/>
    </row>
    <row r="145" spans="1:51">
      <c r="C145" s="5">
        <v>1</v>
      </c>
      <c r="D145" s="540"/>
      <c r="E145" s="541"/>
      <c r="F145" s="541"/>
      <c r="G145" s="542"/>
      <c r="H145" s="5"/>
      <c r="I145" s="5"/>
      <c r="J145" s="543"/>
      <c r="K145" s="544"/>
      <c r="L145" s="102"/>
      <c r="M145" s="9"/>
      <c r="N145" s="9"/>
      <c r="O145" s="9"/>
      <c r="P145" s="9"/>
      <c r="Q145" s="9"/>
      <c r="R145" s="9"/>
      <c r="S145" s="9"/>
      <c r="T145" s="9"/>
      <c r="U145" s="156">
        <f t="shared" ref="U145:U147" si="50">IFERROR(+$AA145*$J145/100,"")</f>
        <v>0</v>
      </c>
      <c r="AA145" s="103">
        <f>+IF($M145&lt;&gt;"",12,IF($N145&lt;&gt;"",10,IF($O145&lt;&gt;"",8,IF($P145&lt;&gt;"",7,IF($Q145&lt;&gt;"",5,IF($R145&lt;&gt;"",3,IF($S145&lt;&gt;"",2,IF($T145&lt;&gt;"",1,0))))))))</f>
        <v>0</v>
      </c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</row>
    <row r="146" spans="1:51">
      <c r="C146" s="5">
        <v>2</v>
      </c>
      <c r="D146" s="540"/>
      <c r="E146" s="541"/>
      <c r="F146" s="541"/>
      <c r="G146" s="542"/>
      <c r="H146" s="5"/>
      <c r="I146" s="5"/>
      <c r="J146" s="543"/>
      <c r="K146" s="544"/>
      <c r="L146" s="102"/>
      <c r="M146" s="9"/>
      <c r="N146" s="9"/>
      <c r="O146" s="9"/>
      <c r="P146" s="9"/>
      <c r="Q146" s="9"/>
      <c r="R146" s="9"/>
      <c r="S146" s="9"/>
      <c r="T146" s="9"/>
      <c r="U146" s="156">
        <f t="shared" si="50"/>
        <v>0</v>
      </c>
      <c r="AA146" s="103">
        <f t="shared" ref="AA146:AA150" si="51">+IF($M146&lt;&gt;"",12,IF($N146&lt;&gt;"",10,IF($O146&lt;&gt;"",8,IF($P146&lt;&gt;"",7,IF($Q146&lt;&gt;"",5,IF($R146&lt;&gt;"",3,IF($S146&lt;&gt;"",2,IF($T146&lt;&gt;"",1,0))))))))</f>
        <v>0</v>
      </c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</row>
    <row r="147" spans="1:51">
      <c r="C147" s="5">
        <v>3</v>
      </c>
      <c r="D147" s="540"/>
      <c r="E147" s="541"/>
      <c r="F147" s="541"/>
      <c r="G147" s="542"/>
      <c r="H147" s="5"/>
      <c r="I147" s="5"/>
      <c r="J147" s="543"/>
      <c r="K147" s="544"/>
      <c r="L147" s="102"/>
      <c r="M147" s="9"/>
      <c r="N147" s="9"/>
      <c r="O147" s="9"/>
      <c r="P147" s="9"/>
      <c r="Q147" s="9"/>
      <c r="R147" s="9"/>
      <c r="S147" s="9"/>
      <c r="T147" s="9"/>
      <c r="U147" s="156">
        <f t="shared" si="50"/>
        <v>0</v>
      </c>
      <c r="AA147" s="103">
        <f t="shared" si="51"/>
        <v>0</v>
      </c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</row>
    <row r="148" spans="1:51">
      <c r="C148" s="5">
        <v>4</v>
      </c>
      <c r="D148" s="540"/>
      <c r="E148" s="541"/>
      <c r="F148" s="541"/>
      <c r="G148" s="542"/>
      <c r="H148" s="5"/>
      <c r="I148" s="5"/>
      <c r="J148" s="543"/>
      <c r="K148" s="544"/>
      <c r="L148" s="102"/>
      <c r="M148" s="9"/>
      <c r="N148" s="9"/>
      <c r="O148" s="9"/>
      <c r="P148" s="9"/>
      <c r="Q148" s="9"/>
      <c r="R148" s="9"/>
      <c r="S148" s="9"/>
      <c r="T148" s="9"/>
      <c r="U148" s="156">
        <f>IFERROR(+$AA148*$J148/100,"")</f>
        <v>0</v>
      </c>
      <c r="AA148" s="103">
        <f t="shared" si="51"/>
        <v>0</v>
      </c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</row>
    <row r="149" spans="1:51">
      <c r="C149" s="5">
        <v>5</v>
      </c>
      <c r="D149" s="540"/>
      <c r="E149" s="541"/>
      <c r="F149" s="541"/>
      <c r="G149" s="542"/>
      <c r="H149" s="5"/>
      <c r="I149" s="5"/>
      <c r="J149" s="543" t="str">
        <f t="shared" ref="J146:J150" si="52">IFERROR(100/L149,"")</f>
        <v/>
      </c>
      <c r="K149" s="544"/>
      <c r="L149" s="102"/>
      <c r="M149" s="9"/>
      <c r="N149" s="9"/>
      <c r="O149" s="9"/>
      <c r="P149" s="9"/>
      <c r="Q149" s="9"/>
      <c r="R149" s="9"/>
      <c r="S149" s="9"/>
      <c r="T149" s="9"/>
      <c r="U149" s="156" t="str">
        <f t="shared" ref="U149:U150" si="53">IFERROR(+$AA149*$J149/100,"")</f>
        <v/>
      </c>
      <c r="AA149" s="103">
        <f t="shared" si="51"/>
        <v>0</v>
      </c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</row>
    <row r="150" spans="1:51" ht="14.25">
      <c r="C150" s="5">
        <v>6</v>
      </c>
      <c r="D150" s="540"/>
      <c r="E150" s="541"/>
      <c r="F150" s="541"/>
      <c r="G150" s="542"/>
      <c r="H150" s="5"/>
      <c r="I150" s="5"/>
      <c r="J150" s="543" t="str">
        <f t="shared" si="52"/>
        <v/>
      </c>
      <c r="K150" s="544"/>
      <c r="L150" s="102"/>
      <c r="M150" s="9"/>
      <c r="N150" s="9"/>
      <c r="O150" s="9"/>
      <c r="P150" s="9"/>
      <c r="Q150" s="9"/>
      <c r="R150" s="9"/>
      <c r="S150" s="9"/>
      <c r="T150" s="9"/>
      <c r="U150" s="156" t="str">
        <f t="shared" si="53"/>
        <v/>
      </c>
      <c r="X150"/>
      <c r="AA150" s="103">
        <f t="shared" si="51"/>
        <v>0</v>
      </c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</row>
    <row r="151" spans="1:51" ht="14.25">
      <c r="C151" s="506" t="s">
        <v>682</v>
      </c>
      <c r="D151" s="507"/>
      <c r="E151" s="507"/>
      <c r="F151" s="507"/>
      <c r="G151" s="507"/>
      <c r="H151" s="507"/>
      <c r="I151" s="507"/>
      <c r="J151" s="507"/>
      <c r="K151" s="507"/>
      <c r="L151" s="507"/>
      <c r="M151" s="507"/>
      <c r="N151" s="507"/>
      <c r="O151" s="507"/>
      <c r="P151" s="507"/>
      <c r="Q151" s="507"/>
      <c r="R151" s="507"/>
      <c r="S151" s="507"/>
      <c r="T151" s="508"/>
      <c r="U151" s="150">
        <f>SUM(U145:U150)</f>
        <v>0</v>
      </c>
      <c r="X151"/>
    </row>
    <row r="152" spans="1:51" ht="14.25"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</row>
    <row r="154" spans="1:51">
      <c r="A154" s="1" t="s">
        <v>683</v>
      </c>
    </row>
    <row r="155" spans="1:51" ht="12.75" customHeight="1">
      <c r="C155" s="525" t="s">
        <v>374</v>
      </c>
      <c r="D155" s="527" t="s">
        <v>684</v>
      </c>
      <c r="E155" s="528"/>
      <c r="F155" s="528"/>
      <c r="G155" s="528"/>
      <c r="H155" s="528"/>
      <c r="I155" s="528"/>
      <c r="J155" s="529"/>
      <c r="K155" s="520" t="s">
        <v>685</v>
      </c>
      <c r="L155" s="521"/>
      <c r="M155" s="521"/>
      <c r="N155" s="521"/>
      <c r="O155" s="521"/>
      <c r="P155" s="521"/>
      <c r="Q155" s="521"/>
      <c r="R155" s="521"/>
      <c r="S155" s="522"/>
      <c r="T155" s="536" t="s">
        <v>686</v>
      </c>
      <c r="U155" s="539" t="s">
        <v>687</v>
      </c>
    </row>
    <row r="156" spans="1:51" ht="45.75" customHeight="1">
      <c r="C156" s="526"/>
      <c r="D156" s="530"/>
      <c r="E156" s="531"/>
      <c r="F156" s="531"/>
      <c r="G156" s="531"/>
      <c r="H156" s="531"/>
      <c r="I156" s="531"/>
      <c r="J156" s="532"/>
      <c r="K156" s="520" t="s">
        <v>688</v>
      </c>
      <c r="L156" s="521"/>
      <c r="M156" s="522"/>
      <c r="N156" s="520" t="s">
        <v>689</v>
      </c>
      <c r="O156" s="521"/>
      <c r="P156" s="522"/>
      <c r="Q156" s="520" t="s">
        <v>609</v>
      </c>
      <c r="R156" s="521"/>
      <c r="S156" s="522"/>
      <c r="T156" s="537"/>
      <c r="U156" s="539"/>
    </row>
    <row r="157" spans="1:51">
      <c r="C157" s="526"/>
      <c r="D157" s="533"/>
      <c r="E157" s="534"/>
      <c r="F157" s="534"/>
      <c r="G157" s="534"/>
      <c r="H157" s="534"/>
      <c r="I157" s="534"/>
      <c r="J157" s="535"/>
      <c r="K157" s="6" t="s">
        <v>9</v>
      </c>
      <c r="L157" s="6" t="s">
        <v>10</v>
      </c>
      <c r="M157" s="6" t="s">
        <v>11</v>
      </c>
      <c r="N157" s="6" t="s">
        <v>12</v>
      </c>
      <c r="O157" s="6" t="s">
        <v>13</v>
      </c>
      <c r="P157" s="6" t="s">
        <v>14</v>
      </c>
      <c r="Q157" s="6" t="s">
        <v>15</v>
      </c>
      <c r="R157" s="6" t="s">
        <v>16</v>
      </c>
      <c r="S157" s="6" t="s">
        <v>17</v>
      </c>
      <c r="T157" s="538"/>
      <c r="U157" s="539"/>
    </row>
    <row r="158" spans="1:51">
      <c r="C158" s="5"/>
      <c r="D158" s="37"/>
      <c r="E158" s="34"/>
      <c r="F158" s="34"/>
      <c r="G158" s="34"/>
      <c r="H158" s="34"/>
      <c r="I158" s="34"/>
      <c r="J158" s="34"/>
      <c r="K158" s="9"/>
      <c r="L158" s="9"/>
      <c r="M158" s="9"/>
      <c r="N158" s="9"/>
      <c r="O158" s="9"/>
      <c r="P158" s="9"/>
      <c r="Q158" s="9"/>
      <c r="R158" s="9"/>
      <c r="S158" s="9"/>
      <c r="T158" s="5"/>
      <c r="U158" s="146">
        <f>IF(OR(K158&lt;&gt;"",N158&lt;&gt;""),2*T158,IF(OR(L158&lt;&gt;"",O158&lt;&gt;""),1*T158,IF(OR(M158&lt;&gt;"",P158&lt;&gt;""),0.2*T158,IF(Q158&lt;&gt;"",2,IF(R158&lt;&gt;"",1,IF(S158&lt;&gt;"",0.5,0))))))</f>
        <v>0</v>
      </c>
    </row>
    <row r="159" spans="1:51">
      <c r="C159" s="5"/>
      <c r="D159" s="37"/>
      <c r="E159" s="34"/>
      <c r="F159" s="34"/>
      <c r="G159" s="34"/>
      <c r="H159" s="34"/>
      <c r="I159" s="34"/>
      <c r="J159" s="34"/>
      <c r="K159" s="9"/>
      <c r="L159" s="9"/>
      <c r="M159" s="9"/>
      <c r="N159" s="9"/>
      <c r="O159" s="9"/>
      <c r="P159" s="9"/>
      <c r="Q159" s="9"/>
      <c r="R159" s="9"/>
      <c r="S159" s="9"/>
      <c r="T159" s="5"/>
      <c r="U159" s="146">
        <f t="shared" ref="U159:U164" si="54">IF(OR(K159&lt;&gt;"",N159&lt;&gt;""),2*T159,IF(OR(L159&lt;&gt;"",O159&lt;&gt;""),1*T159,IF(OR(M159&lt;&gt;"",P159&lt;&gt;""),0.2*T159,IF(Q159&lt;&gt;"",2,IF(R159&lt;&gt;"",1,IF(S159&lt;&gt;"",0.5,0))))))</f>
        <v>0</v>
      </c>
    </row>
    <row r="160" spans="1:51">
      <c r="C160" s="5"/>
      <c r="D160" s="37"/>
      <c r="E160" s="34"/>
      <c r="F160" s="34"/>
      <c r="G160" s="34"/>
      <c r="H160" s="34"/>
      <c r="I160" s="34"/>
      <c r="J160" s="34"/>
      <c r="K160" s="9"/>
      <c r="L160" s="9"/>
      <c r="M160" s="9"/>
      <c r="N160" s="9"/>
      <c r="O160" s="9"/>
      <c r="P160" s="9"/>
      <c r="Q160" s="9"/>
      <c r="R160" s="9"/>
      <c r="S160" s="9"/>
      <c r="T160" s="5"/>
      <c r="U160" s="146">
        <f t="shared" si="54"/>
        <v>0</v>
      </c>
    </row>
    <row r="161" spans="1:24">
      <c r="C161" s="5"/>
      <c r="D161" s="37"/>
      <c r="E161" s="34"/>
      <c r="F161" s="34"/>
      <c r="G161" s="34"/>
      <c r="H161" s="34"/>
      <c r="I161" s="34"/>
      <c r="J161" s="34"/>
      <c r="K161" s="9"/>
      <c r="L161" s="9"/>
      <c r="M161" s="9"/>
      <c r="N161" s="9"/>
      <c r="O161" s="9"/>
      <c r="P161" s="9"/>
      <c r="Q161" s="9"/>
      <c r="R161" s="9"/>
      <c r="S161" s="9"/>
      <c r="T161" s="5"/>
      <c r="U161" s="146">
        <f t="shared" si="54"/>
        <v>0</v>
      </c>
    </row>
    <row r="162" spans="1:24">
      <c r="C162" s="5"/>
      <c r="D162" s="37"/>
      <c r="E162" s="34"/>
      <c r="F162" s="34"/>
      <c r="G162" s="34"/>
      <c r="H162" s="34"/>
      <c r="I162" s="34"/>
      <c r="J162" s="34"/>
      <c r="K162" s="9"/>
      <c r="L162" s="9"/>
      <c r="M162" s="9"/>
      <c r="N162" s="9"/>
      <c r="O162" s="9"/>
      <c r="P162" s="9"/>
      <c r="Q162" s="9"/>
      <c r="R162" s="9"/>
      <c r="S162" s="9"/>
      <c r="T162" s="5"/>
      <c r="U162" s="146">
        <f t="shared" si="54"/>
        <v>0</v>
      </c>
    </row>
    <row r="163" spans="1:24">
      <c r="C163" s="5"/>
      <c r="D163" s="37"/>
      <c r="E163" s="34"/>
      <c r="F163" s="34"/>
      <c r="G163" s="34"/>
      <c r="H163" s="34"/>
      <c r="I163" s="34"/>
      <c r="J163" s="34"/>
      <c r="K163" s="9"/>
      <c r="L163" s="9"/>
      <c r="M163" s="9"/>
      <c r="N163" s="9"/>
      <c r="O163" s="9"/>
      <c r="P163" s="9"/>
      <c r="Q163" s="9"/>
      <c r="R163" s="9"/>
      <c r="S163" s="9"/>
      <c r="T163" s="5"/>
      <c r="U163" s="146">
        <f t="shared" si="54"/>
        <v>0</v>
      </c>
    </row>
    <row r="164" spans="1:24">
      <c r="C164" s="5"/>
      <c r="D164" s="37"/>
      <c r="E164" s="34"/>
      <c r="F164" s="34"/>
      <c r="G164" s="34"/>
      <c r="H164" s="34"/>
      <c r="I164" s="34"/>
      <c r="J164" s="34"/>
      <c r="K164" s="9"/>
      <c r="L164" s="9"/>
      <c r="M164" s="9"/>
      <c r="N164" s="9"/>
      <c r="O164" s="9"/>
      <c r="P164" s="9"/>
      <c r="Q164" s="9"/>
      <c r="R164" s="9"/>
      <c r="S164" s="9"/>
      <c r="T164" s="5"/>
      <c r="U164" s="146">
        <f t="shared" si="54"/>
        <v>0</v>
      </c>
    </row>
    <row r="165" spans="1:24">
      <c r="C165" s="506" t="s">
        <v>690</v>
      </c>
      <c r="D165" s="507"/>
      <c r="E165" s="507"/>
      <c r="F165" s="507"/>
      <c r="G165" s="507"/>
      <c r="H165" s="507"/>
      <c r="I165" s="507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8"/>
      <c r="U165" s="146">
        <f>SUM(U158:U164)</f>
        <v>0</v>
      </c>
    </row>
    <row r="166" spans="1:24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4">
      <c r="A167" s="1" t="s">
        <v>691</v>
      </c>
    </row>
    <row r="168" spans="1:24" ht="40.5" customHeight="1">
      <c r="C168" s="509" t="s">
        <v>374</v>
      </c>
      <c r="D168" s="517" t="s">
        <v>692</v>
      </c>
      <c r="E168" s="518"/>
      <c r="F168" s="518"/>
      <c r="G168" s="518"/>
      <c r="H168" s="518"/>
      <c r="I168" s="518"/>
      <c r="J168" s="518"/>
      <c r="K168" s="518"/>
      <c r="L168" s="518"/>
      <c r="M168" s="518"/>
      <c r="N168" s="518"/>
      <c r="O168" s="519"/>
      <c r="P168" s="520" t="s">
        <v>693</v>
      </c>
      <c r="Q168" s="521"/>
      <c r="R168" s="521"/>
      <c r="S168" s="521"/>
      <c r="T168" s="521"/>
      <c r="U168" s="521"/>
      <c r="V168" s="521"/>
      <c r="W168" s="522"/>
      <c r="X168" s="523" t="s">
        <v>581</v>
      </c>
    </row>
    <row r="169" spans="1:24" ht="40.5" customHeight="1">
      <c r="C169" s="509"/>
      <c r="D169" s="524" t="s">
        <v>694</v>
      </c>
      <c r="E169" s="509"/>
      <c r="F169" s="218" t="s">
        <v>695</v>
      </c>
      <c r="G169" s="509" t="s">
        <v>696</v>
      </c>
      <c r="H169" s="509"/>
      <c r="I169" s="509"/>
      <c r="J169" s="509"/>
      <c r="K169" s="509"/>
      <c r="L169" s="509"/>
      <c r="M169" s="509" t="s">
        <v>697</v>
      </c>
      <c r="N169" s="509"/>
      <c r="O169" s="509"/>
      <c r="P169" s="6" t="s">
        <v>9</v>
      </c>
      <c r="Q169" s="6" t="s">
        <v>10</v>
      </c>
      <c r="R169" s="6" t="s">
        <v>11</v>
      </c>
      <c r="S169" s="48" t="s">
        <v>12</v>
      </c>
      <c r="T169" s="48" t="s">
        <v>13</v>
      </c>
      <c r="U169" s="48" t="s">
        <v>14</v>
      </c>
      <c r="V169" s="48" t="s">
        <v>15</v>
      </c>
      <c r="W169" s="48" t="s">
        <v>16</v>
      </c>
      <c r="X169" s="523"/>
    </row>
    <row r="170" spans="1:24">
      <c r="C170" s="5"/>
      <c r="D170" s="504"/>
      <c r="E170" s="504"/>
      <c r="F170" s="12"/>
      <c r="G170" s="505"/>
      <c r="H170" s="505"/>
      <c r="I170" s="505"/>
      <c r="J170" s="505"/>
      <c r="K170" s="505"/>
      <c r="L170" s="505"/>
      <c r="M170" s="505"/>
      <c r="N170" s="505"/>
      <c r="O170" s="505"/>
      <c r="P170" s="9"/>
      <c r="Q170" s="9"/>
      <c r="R170" s="9"/>
      <c r="S170" s="9"/>
      <c r="T170" s="9"/>
      <c r="U170" s="9"/>
      <c r="V170" s="9"/>
      <c r="W170" s="9"/>
      <c r="X170" s="5"/>
    </row>
    <row r="171" spans="1:24">
      <c r="C171" s="5"/>
      <c r="D171" s="504"/>
      <c r="E171" s="504"/>
      <c r="F171" s="12"/>
      <c r="G171" s="505"/>
      <c r="H171" s="505"/>
      <c r="I171" s="505"/>
      <c r="J171" s="505"/>
      <c r="K171" s="505"/>
      <c r="L171" s="505"/>
      <c r="M171" s="505"/>
      <c r="N171" s="505"/>
      <c r="O171" s="505"/>
      <c r="P171" s="9"/>
      <c r="Q171" s="9"/>
      <c r="R171" s="9"/>
      <c r="S171" s="9"/>
      <c r="T171" s="9"/>
      <c r="U171" s="9"/>
      <c r="V171" s="9"/>
      <c r="W171" s="9"/>
      <c r="X171" s="5"/>
    </row>
    <row r="172" spans="1:24">
      <c r="C172" s="5"/>
      <c r="D172" s="504"/>
      <c r="E172" s="504"/>
      <c r="F172" s="12"/>
      <c r="G172" s="505"/>
      <c r="H172" s="505"/>
      <c r="I172" s="505"/>
      <c r="J172" s="505"/>
      <c r="K172" s="505"/>
      <c r="L172" s="505"/>
      <c r="M172" s="505"/>
      <c r="N172" s="505"/>
      <c r="O172" s="505"/>
      <c r="P172" s="9"/>
      <c r="Q172" s="9"/>
      <c r="R172" s="9"/>
      <c r="S172" s="9"/>
      <c r="T172" s="9"/>
      <c r="U172" s="9"/>
      <c r="V172" s="9"/>
      <c r="W172" s="9"/>
      <c r="X172" s="5"/>
    </row>
    <row r="173" spans="1:24">
      <c r="C173" s="5"/>
      <c r="D173" s="504"/>
      <c r="E173" s="504"/>
      <c r="F173" s="12"/>
      <c r="G173" s="505"/>
      <c r="H173" s="505"/>
      <c r="I173" s="505"/>
      <c r="J173" s="505"/>
      <c r="K173" s="505"/>
      <c r="L173" s="505"/>
      <c r="M173" s="505"/>
      <c r="N173" s="505"/>
      <c r="O173" s="505"/>
      <c r="P173" s="9"/>
      <c r="Q173" s="9"/>
      <c r="R173" s="9"/>
      <c r="S173" s="9"/>
      <c r="T173" s="9"/>
      <c r="U173" s="9"/>
      <c r="V173" s="9"/>
      <c r="W173" s="9"/>
      <c r="X173" s="5"/>
    </row>
    <row r="174" spans="1:24">
      <c r="C174" s="5"/>
      <c r="D174" s="504"/>
      <c r="E174" s="504"/>
      <c r="F174" s="12"/>
      <c r="G174" s="505"/>
      <c r="H174" s="505"/>
      <c r="I174" s="505"/>
      <c r="J174" s="505"/>
      <c r="K174" s="505"/>
      <c r="L174" s="505"/>
      <c r="M174" s="505"/>
      <c r="N174" s="505"/>
      <c r="O174" s="505"/>
      <c r="P174" s="9"/>
      <c r="Q174" s="9"/>
      <c r="R174" s="9"/>
      <c r="S174" s="9"/>
      <c r="T174" s="9"/>
      <c r="U174" s="9"/>
      <c r="V174" s="9"/>
      <c r="W174" s="9"/>
      <c r="X174" s="5"/>
    </row>
    <row r="175" spans="1:24">
      <c r="C175" s="506" t="s">
        <v>272</v>
      </c>
      <c r="D175" s="507"/>
      <c r="E175" s="507"/>
      <c r="F175" s="507"/>
      <c r="G175" s="507"/>
      <c r="H175" s="507"/>
      <c r="I175" s="507"/>
      <c r="J175" s="507"/>
      <c r="K175" s="507"/>
      <c r="L175" s="507"/>
      <c r="M175" s="507"/>
      <c r="N175" s="507"/>
      <c r="O175" s="507"/>
      <c r="P175" s="507"/>
      <c r="Q175" s="507"/>
      <c r="R175" s="507"/>
      <c r="S175" s="507"/>
      <c r="T175" s="507"/>
      <c r="U175" s="507"/>
      <c r="V175" s="507"/>
      <c r="W175" s="508"/>
      <c r="X175" s="52">
        <f>SUM(X170:X174)</f>
        <v>0</v>
      </c>
    </row>
    <row r="177" spans="1:23">
      <c r="A177" s="1" t="s">
        <v>698</v>
      </c>
    </row>
    <row r="179" spans="1:23" ht="57">
      <c r="C179" s="43" t="s">
        <v>374</v>
      </c>
      <c r="D179" s="509" t="s">
        <v>699</v>
      </c>
      <c r="E179" s="509"/>
      <c r="F179" s="509"/>
      <c r="G179" s="509"/>
      <c r="H179" s="509"/>
      <c r="I179" s="509"/>
      <c r="J179" s="509"/>
      <c r="K179" s="509"/>
      <c r="L179" s="509"/>
      <c r="M179" s="49" t="s">
        <v>581</v>
      </c>
    </row>
    <row r="180" spans="1:23">
      <c r="C180" s="5"/>
      <c r="D180" s="505"/>
      <c r="E180" s="505"/>
      <c r="F180" s="505"/>
      <c r="G180" s="505"/>
      <c r="H180" s="505"/>
      <c r="I180" s="505"/>
      <c r="J180" s="505"/>
      <c r="K180" s="505"/>
      <c r="L180" s="505"/>
      <c r="M180" s="5"/>
    </row>
    <row r="181" spans="1:23">
      <c r="C181" s="5"/>
      <c r="D181" s="505"/>
      <c r="E181" s="505"/>
      <c r="F181" s="505"/>
      <c r="G181" s="505"/>
      <c r="H181" s="505"/>
      <c r="I181" s="505"/>
      <c r="J181" s="505"/>
      <c r="K181" s="505"/>
      <c r="L181" s="505"/>
      <c r="M181" s="5"/>
    </row>
    <row r="182" spans="1:23">
      <c r="C182" s="506" t="s">
        <v>51</v>
      </c>
      <c r="D182" s="507"/>
      <c r="E182" s="507"/>
      <c r="F182" s="507"/>
      <c r="G182" s="507"/>
      <c r="H182" s="507"/>
      <c r="I182" s="507"/>
      <c r="J182" s="507"/>
      <c r="K182" s="507"/>
      <c r="L182" s="508"/>
      <c r="M182" s="52">
        <f>SUM(M180:M181)</f>
        <v>0</v>
      </c>
    </row>
    <row r="184" spans="1:23">
      <c r="A184" s="1" t="s">
        <v>700</v>
      </c>
    </row>
    <row r="186" spans="1:23" ht="45.75">
      <c r="C186" s="43" t="s">
        <v>2</v>
      </c>
      <c r="D186" s="509" t="s">
        <v>273</v>
      </c>
      <c r="E186" s="509"/>
      <c r="F186" s="509"/>
      <c r="G186" s="509"/>
      <c r="H186" s="509"/>
      <c r="I186" s="509"/>
      <c r="J186" s="509"/>
      <c r="K186" s="509"/>
      <c r="L186" s="509"/>
      <c r="M186" s="49" t="s">
        <v>623</v>
      </c>
      <c r="O186" s="1" t="s">
        <v>711</v>
      </c>
    </row>
    <row r="187" spans="1:23">
      <c r="C187" s="5">
        <v>1</v>
      </c>
      <c r="D187" s="505" t="str">
        <f>IF(M187&lt;20,"The teaching load does not meet the criteria. (Less than 20 Teaching Loads per week)","Regular Teaching Duty")</f>
        <v>The teaching load does not meet the criteria. (Less than 20 Teaching Loads per week)</v>
      </c>
      <c r="E187" s="505"/>
      <c r="F187" s="505"/>
      <c r="G187" s="505"/>
      <c r="H187" s="505"/>
      <c r="I187" s="505"/>
      <c r="J187" s="505"/>
      <c r="K187" s="505"/>
      <c r="L187" s="505"/>
      <c r="M187" s="53">
        <f>+P30+X46+W60+U81+Q94</f>
        <v>0</v>
      </c>
      <c r="O187" s="510" t="s">
        <v>712</v>
      </c>
      <c r="P187" s="510"/>
      <c r="Q187" s="510"/>
      <c r="R187" s="510"/>
      <c r="S187" s="510"/>
      <c r="T187" s="510"/>
      <c r="U187" s="510"/>
      <c r="V187" s="510"/>
      <c r="W187" s="510"/>
    </row>
    <row r="188" spans="1:23">
      <c r="C188" s="5">
        <v>2</v>
      </c>
      <c r="D188" s="505" t="s">
        <v>701</v>
      </c>
      <c r="E188" s="505"/>
      <c r="F188" s="505"/>
      <c r="G188" s="505"/>
      <c r="H188" s="505"/>
      <c r="I188" s="505"/>
      <c r="J188" s="505"/>
      <c r="K188" s="505"/>
      <c r="L188" s="505"/>
      <c r="M188" s="157">
        <f>+X108+X119</f>
        <v>0</v>
      </c>
      <c r="O188" s="510" t="s">
        <v>713</v>
      </c>
      <c r="P188" s="510"/>
      <c r="Q188" s="510"/>
      <c r="R188" s="510"/>
      <c r="S188" s="510"/>
      <c r="T188" s="510"/>
      <c r="U188" s="510"/>
      <c r="V188" s="510"/>
      <c r="W188" s="510"/>
    </row>
    <row r="189" spans="1:23">
      <c r="C189" s="5">
        <v>3</v>
      </c>
      <c r="D189" s="505" t="s">
        <v>702</v>
      </c>
      <c r="E189" s="505"/>
      <c r="F189" s="505"/>
      <c r="G189" s="505"/>
      <c r="H189" s="505"/>
      <c r="I189" s="505"/>
      <c r="J189" s="505"/>
      <c r="K189" s="505"/>
      <c r="L189" s="505"/>
      <c r="M189" s="157">
        <f>+V137+U151</f>
        <v>0</v>
      </c>
      <c r="O189" s="513"/>
      <c r="P189" s="513"/>
      <c r="Q189" s="513"/>
      <c r="R189" s="513"/>
      <c r="S189" s="513"/>
      <c r="T189" s="513"/>
      <c r="U189" s="513"/>
      <c r="V189" s="513"/>
    </row>
    <row r="190" spans="1:23">
      <c r="C190" s="5">
        <v>4</v>
      </c>
      <c r="D190" s="505" t="s">
        <v>703</v>
      </c>
      <c r="E190" s="505"/>
      <c r="F190" s="505"/>
      <c r="G190" s="505"/>
      <c r="H190" s="505"/>
      <c r="I190" s="505"/>
      <c r="J190" s="505"/>
      <c r="K190" s="505"/>
      <c r="L190" s="505"/>
      <c r="M190" s="157">
        <f>+U165</f>
        <v>0</v>
      </c>
      <c r="O190" s="513"/>
      <c r="P190" s="513"/>
      <c r="Q190" s="513"/>
      <c r="R190" s="513"/>
      <c r="S190" s="513"/>
      <c r="T190" s="513"/>
      <c r="U190" s="513"/>
      <c r="V190" s="513"/>
    </row>
    <row r="191" spans="1:23">
      <c r="C191" s="5">
        <v>5</v>
      </c>
      <c r="D191" s="505" t="s">
        <v>692</v>
      </c>
      <c r="E191" s="505"/>
      <c r="F191" s="505"/>
      <c r="G191" s="505"/>
      <c r="H191" s="505"/>
      <c r="I191" s="505"/>
      <c r="J191" s="505"/>
      <c r="K191" s="505"/>
      <c r="L191" s="505"/>
      <c r="M191" s="52">
        <f>+X175</f>
        <v>0</v>
      </c>
      <c r="O191" s="513"/>
      <c r="P191" s="513"/>
      <c r="Q191" s="513"/>
      <c r="R191" s="513"/>
      <c r="S191" s="513"/>
      <c r="T191" s="513"/>
      <c r="U191" s="513"/>
      <c r="V191" s="513"/>
    </row>
    <row r="192" spans="1:23">
      <c r="C192" s="5">
        <v>6</v>
      </c>
      <c r="D192" s="505" t="s">
        <v>704</v>
      </c>
      <c r="E192" s="505"/>
      <c r="F192" s="505"/>
      <c r="G192" s="505"/>
      <c r="H192" s="505"/>
      <c r="I192" s="505"/>
      <c r="J192" s="505"/>
      <c r="K192" s="505"/>
      <c r="L192" s="505"/>
      <c r="M192" s="52">
        <f>+M182</f>
        <v>0</v>
      </c>
      <c r="O192" s="513"/>
      <c r="P192" s="513"/>
      <c r="Q192" s="513"/>
      <c r="R192" s="513"/>
      <c r="S192" s="513"/>
      <c r="T192" s="513"/>
      <c r="U192" s="513"/>
      <c r="V192" s="513"/>
    </row>
    <row r="193" spans="1:22">
      <c r="C193" s="506" t="s">
        <v>705</v>
      </c>
      <c r="D193" s="507"/>
      <c r="E193" s="507"/>
      <c r="F193" s="507"/>
      <c r="G193" s="507"/>
      <c r="H193" s="507"/>
      <c r="I193" s="507"/>
      <c r="J193" s="507"/>
      <c r="K193" s="507"/>
      <c r="L193" s="508"/>
      <c r="M193" s="52">
        <f>SUM(M187:M192)</f>
        <v>0</v>
      </c>
    </row>
    <row r="194" spans="1:22">
      <c r="C194" s="1" t="s">
        <v>706</v>
      </c>
    </row>
    <row r="195" spans="1:22">
      <c r="D195" s="55"/>
      <c r="E195" s="1" t="s">
        <v>707</v>
      </c>
      <c r="O195" s="511" t="s">
        <v>714</v>
      </c>
      <c r="P195" s="511"/>
      <c r="Q195" s="511"/>
      <c r="R195" s="511"/>
      <c r="S195" s="511"/>
      <c r="T195" s="511"/>
      <c r="U195" s="511"/>
      <c r="V195" s="511"/>
    </row>
    <row r="196" spans="1:22">
      <c r="D196" s="55"/>
      <c r="E196" s="1" t="s">
        <v>708</v>
      </c>
      <c r="O196" s="511"/>
      <c r="P196" s="511"/>
      <c r="Q196" s="511"/>
      <c r="R196" s="511"/>
      <c r="S196" s="511"/>
      <c r="T196" s="511"/>
      <c r="U196" s="511"/>
      <c r="V196" s="511"/>
    </row>
    <row r="197" spans="1:22">
      <c r="D197" s="55"/>
      <c r="E197" s="1" t="s">
        <v>709</v>
      </c>
      <c r="O197" s="511"/>
      <c r="P197" s="511"/>
      <c r="Q197" s="511"/>
      <c r="R197" s="511"/>
      <c r="S197" s="511"/>
      <c r="T197" s="511"/>
      <c r="U197" s="511"/>
      <c r="V197" s="511"/>
    </row>
    <row r="198" spans="1:22">
      <c r="D198" s="55"/>
      <c r="E198" s="1" t="s">
        <v>710</v>
      </c>
      <c r="G198" s="512"/>
      <c r="H198" s="512"/>
      <c r="I198" s="512"/>
      <c r="J198" s="512"/>
      <c r="K198" s="512"/>
      <c r="L198" s="512"/>
      <c r="M198" s="512"/>
      <c r="N198" s="512"/>
      <c r="O198" s="511" t="s">
        <v>52</v>
      </c>
      <c r="P198" s="511"/>
      <c r="Q198" s="511"/>
      <c r="R198" s="511"/>
      <c r="S198" s="511"/>
      <c r="T198" s="511"/>
      <c r="U198" s="511"/>
      <c r="V198" s="511"/>
    </row>
    <row r="199" spans="1:22">
      <c r="O199" s="511" t="s">
        <v>715</v>
      </c>
      <c r="P199" s="511"/>
      <c r="Q199" s="511"/>
      <c r="R199" s="511"/>
      <c r="S199" s="511"/>
      <c r="T199" s="511"/>
      <c r="U199" s="511"/>
      <c r="V199" s="511"/>
    </row>
    <row r="200" spans="1:22">
      <c r="A200" s="1" t="s">
        <v>717</v>
      </c>
    </row>
    <row r="201" spans="1:22" ht="14.25" customHeight="1">
      <c r="C201" s="1" t="s">
        <v>718</v>
      </c>
      <c r="I201" s="219"/>
      <c r="J201" s="516"/>
      <c r="K201" s="516"/>
      <c r="L201" s="516"/>
      <c r="M201" s="516"/>
      <c r="N201" s="516"/>
      <c r="O201" s="1" t="s">
        <v>716</v>
      </c>
    </row>
    <row r="202" spans="1:22" ht="4.5" customHeight="1">
      <c r="I202" s="15"/>
      <c r="J202" s="15"/>
      <c r="K202" s="15"/>
      <c r="L202" s="15"/>
      <c r="M202" s="15"/>
    </row>
    <row r="203" spans="1:22">
      <c r="C203" s="1" t="s">
        <v>719</v>
      </c>
      <c r="E203" s="54"/>
      <c r="F203" s="1" t="s">
        <v>720</v>
      </c>
      <c r="I203" s="54"/>
      <c r="J203" s="1" t="s">
        <v>721</v>
      </c>
      <c r="O203" s="511"/>
      <c r="P203" s="511"/>
      <c r="Q203" s="511"/>
      <c r="R203" s="511"/>
      <c r="S203" s="511"/>
      <c r="T203" s="511"/>
      <c r="U203" s="511"/>
      <c r="V203" s="511"/>
    </row>
    <row r="204" spans="1:22" ht="29.45" customHeight="1">
      <c r="C204" s="515" t="s">
        <v>722</v>
      </c>
      <c r="D204" s="515"/>
      <c r="E204" s="515"/>
      <c r="F204" s="515"/>
      <c r="G204" s="515"/>
      <c r="H204" s="515"/>
      <c r="I204" s="515"/>
      <c r="J204" s="515"/>
      <c r="K204" s="515"/>
      <c r="L204" s="515"/>
      <c r="M204" s="515"/>
      <c r="N204" s="515"/>
      <c r="O204" s="514"/>
      <c r="P204" s="514"/>
      <c r="Q204" s="514"/>
      <c r="R204" s="514"/>
      <c r="S204" s="514"/>
      <c r="T204" s="514"/>
      <c r="U204" s="514"/>
      <c r="V204" s="514"/>
    </row>
    <row r="205" spans="1:22">
      <c r="C205" s="511"/>
      <c r="D205" s="511"/>
      <c r="E205" s="511"/>
      <c r="F205" s="511"/>
      <c r="G205" s="511"/>
      <c r="H205" s="511"/>
      <c r="I205" s="511"/>
      <c r="J205" s="511"/>
      <c r="K205" s="511"/>
      <c r="O205" s="511"/>
      <c r="P205" s="511"/>
      <c r="Q205" s="511"/>
      <c r="R205" s="511"/>
      <c r="S205" s="511"/>
      <c r="T205" s="511"/>
      <c r="U205" s="511"/>
      <c r="V205" s="511"/>
    </row>
    <row r="206" spans="1:22">
      <c r="C206" s="511"/>
      <c r="D206" s="511"/>
      <c r="E206" s="511"/>
      <c r="F206" s="511"/>
      <c r="G206" s="511"/>
      <c r="H206" s="511"/>
      <c r="I206" s="511"/>
      <c r="J206" s="511"/>
      <c r="K206" s="511"/>
      <c r="O206" s="511"/>
      <c r="P206" s="511"/>
      <c r="Q206" s="511"/>
      <c r="R206" s="511"/>
      <c r="S206" s="511"/>
      <c r="T206" s="511"/>
      <c r="U206" s="511"/>
      <c r="V206" s="511"/>
    </row>
    <row r="207" spans="1:22">
      <c r="C207" s="511" t="s">
        <v>52</v>
      </c>
      <c r="D207" s="511"/>
      <c r="E207" s="511"/>
      <c r="F207" s="511"/>
      <c r="G207" s="511"/>
      <c r="H207" s="511"/>
      <c r="I207" s="511"/>
      <c r="J207" s="511"/>
      <c r="K207" s="511"/>
      <c r="O207" s="511" t="s">
        <v>52</v>
      </c>
      <c r="P207" s="511"/>
      <c r="Q207" s="511"/>
      <c r="R207" s="511"/>
      <c r="S207" s="511"/>
      <c r="T207" s="511"/>
      <c r="U207" s="511"/>
      <c r="V207" s="511"/>
    </row>
    <row r="208" spans="1:22">
      <c r="C208" s="511" t="s">
        <v>723</v>
      </c>
      <c r="D208" s="511"/>
      <c r="E208" s="511"/>
      <c r="F208" s="511"/>
      <c r="G208" s="511"/>
      <c r="H208" s="511"/>
      <c r="I208" s="511"/>
      <c r="J208" s="511"/>
      <c r="K208" s="511"/>
      <c r="O208" s="511" t="s">
        <v>53</v>
      </c>
      <c r="P208" s="511"/>
      <c r="Q208" s="511"/>
      <c r="R208" s="511"/>
      <c r="S208" s="511"/>
      <c r="T208" s="511"/>
      <c r="U208" s="511"/>
      <c r="V208" s="511"/>
    </row>
    <row r="209" spans="3:22">
      <c r="C209" s="511" t="s">
        <v>724</v>
      </c>
      <c r="D209" s="511"/>
      <c r="E209" s="511"/>
      <c r="F209" s="511"/>
      <c r="G209" s="511"/>
      <c r="H209" s="511"/>
      <c r="I209" s="511"/>
      <c r="J209" s="511"/>
      <c r="K209" s="511"/>
      <c r="O209" s="511" t="s">
        <v>54</v>
      </c>
      <c r="P209" s="511"/>
      <c r="Q209" s="511"/>
      <c r="R209" s="511"/>
      <c r="S209" s="511"/>
      <c r="T209" s="511"/>
      <c r="U209" s="511"/>
      <c r="V209" s="511"/>
    </row>
  </sheetData>
  <mergeCells count="287">
    <mergeCell ref="A1:U1"/>
    <mergeCell ref="A2:U2"/>
    <mergeCell ref="I5:L5"/>
    <mergeCell ref="S5:V5"/>
    <mergeCell ref="I6:L6"/>
    <mergeCell ref="S6:V6"/>
    <mergeCell ref="S7:V7"/>
    <mergeCell ref="I8:L8"/>
    <mergeCell ref="C12:C14"/>
    <mergeCell ref="D12:M12"/>
    <mergeCell ref="N12:O13"/>
    <mergeCell ref="P12:P13"/>
    <mergeCell ref="D13:D14"/>
    <mergeCell ref="E13:E14"/>
    <mergeCell ref="F13:F14"/>
    <mergeCell ref="G13:G14"/>
    <mergeCell ref="D29:J29"/>
    <mergeCell ref="L29:O29"/>
    <mergeCell ref="C30:O30"/>
    <mergeCell ref="C34:C38"/>
    <mergeCell ref="D34:N34"/>
    <mergeCell ref="O34:S34"/>
    <mergeCell ref="R35:S37"/>
    <mergeCell ref="K13:L13"/>
    <mergeCell ref="M13:M14"/>
    <mergeCell ref="C26:O26"/>
    <mergeCell ref="D27:J27"/>
    <mergeCell ref="L27:O27"/>
    <mergeCell ref="D28:J28"/>
    <mergeCell ref="L28:O28"/>
    <mergeCell ref="T35:U37"/>
    <mergeCell ref="V35:W37"/>
    <mergeCell ref="E39:J39"/>
    <mergeCell ref="E40:J40"/>
    <mergeCell ref="E41:J41"/>
    <mergeCell ref="E42:J42"/>
    <mergeCell ref="T34:W34"/>
    <mergeCell ref="X34:X38"/>
    <mergeCell ref="D35:D38"/>
    <mergeCell ref="E35:J38"/>
    <mergeCell ref="K35:K38"/>
    <mergeCell ref="L35:L37"/>
    <mergeCell ref="M35:M37"/>
    <mergeCell ref="N35:N37"/>
    <mergeCell ref="O35:P37"/>
    <mergeCell ref="Q35:Q38"/>
    <mergeCell ref="W49:W51"/>
    <mergeCell ref="O50:O51"/>
    <mergeCell ref="P50:P51"/>
    <mergeCell ref="Q50:R50"/>
    <mergeCell ref="S50:U50"/>
    <mergeCell ref="E43:J43"/>
    <mergeCell ref="E44:J44"/>
    <mergeCell ref="E45:J45"/>
    <mergeCell ref="C46:W46"/>
    <mergeCell ref="C49:C51"/>
    <mergeCell ref="D49:D51"/>
    <mergeCell ref="E49:H51"/>
    <mergeCell ref="I49:I51"/>
    <mergeCell ref="J49:J50"/>
    <mergeCell ref="K49:K51"/>
    <mergeCell ref="V50:V51"/>
    <mergeCell ref="Q49:V49"/>
    <mergeCell ref="E52:H52"/>
    <mergeCell ref="E53:H53"/>
    <mergeCell ref="E54:H54"/>
    <mergeCell ref="E55:H55"/>
    <mergeCell ref="E56:H56"/>
    <mergeCell ref="L49:L51"/>
    <mergeCell ref="M49:M51"/>
    <mergeCell ref="N49:N51"/>
    <mergeCell ref="O49:P49"/>
    <mergeCell ref="U66:U68"/>
    <mergeCell ref="M67:M68"/>
    <mergeCell ref="N67:N68"/>
    <mergeCell ref="O67:O68"/>
    <mergeCell ref="P67:P68"/>
    <mergeCell ref="Q67:Q68"/>
    <mergeCell ref="E57:H57"/>
    <mergeCell ref="E58:H58"/>
    <mergeCell ref="E59:H59"/>
    <mergeCell ref="C60:V60"/>
    <mergeCell ref="C66:C68"/>
    <mergeCell ref="D66:D68"/>
    <mergeCell ref="E66:H68"/>
    <mergeCell ref="I66:I68"/>
    <mergeCell ref="J66:J67"/>
    <mergeCell ref="K66:K68"/>
    <mergeCell ref="E72:H72"/>
    <mergeCell ref="E73:H73"/>
    <mergeCell ref="E74:H74"/>
    <mergeCell ref="E79:H79"/>
    <mergeCell ref="E80:H80"/>
    <mergeCell ref="C81:T81"/>
    <mergeCell ref="R67:R68"/>
    <mergeCell ref="S67:S68"/>
    <mergeCell ref="T67:T68"/>
    <mergeCell ref="E69:H69"/>
    <mergeCell ref="E70:H70"/>
    <mergeCell ref="E71:H71"/>
    <mergeCell ref="L66:L68"/>
    <mergeCell ref="M66:O66"/>
    <mergeCell ref="P66:R66"/>
    <mergeCell ref="S66:T66"/>
    <mergeCell ref="C98:C101"/>
    <mergeCell ref="D98:G101"/>
    <mergeCell ref="H98:H101"/>
    <mergeCell ref="I98:I101"/>
    <mergeCell ref="J98:Q98"/>
    <mergeCell ref="R98:V99"/>
    <mergeCell ref="Q100:Q101"/>
    <mergeCell ref="R100:V100"/>
    <mergeCell ref="P85:P88"/>
    <mergeCell ref="E89:K89"/>
    <mergeCell ref="E90:K90"/>
    <mergeCell ref="E91:K91"/>
    <mergeCell ref="E92:K92"/>
    <mergeCell ref="C94:P94"/>
    <mergeCell ref="C84:C88"/>
    <mergeCell ref="D84:N84"/>
    <mergeCell ref="O84:P84"/>
    <mergeCell ref="Q84:Q88"/>
    <mergeCell ref="D85:D88"/>
    <mergeCell ref="E85:K88"/>
    <mergeCell ref="L85:L88"/>
    <mergeCell ref="M85:M87"/>
    <mergeCell ref="N85:N87"/>
    <mergeCell ref="O85:O88"/>
    <mergeCell ref="W98:W101"/>
    <mergeCell ref="X98:X101"/>
    <mergeCell ref="J99:Q99"/>
    <mergeCell ref="J100:J101"/>
    <mergeCell ref="K100:K101"/>
    <mergeCell ref="L100:L101"/>
    <mergeCell ref="M100:M101"/>
    <mergeCell ref="N100:N101"/>
    <mergeCell ref="O100:O101"/>
    <mergeCell ref="P100:P101"/>
    <mergeCell ref="X111:X112"/>
    <mergeCell ref="M112:N112"/>
    <mergeCell ref="P112:Q112"/>
    <mergeCell ref="S112:T112"/>
    <mergeCell ref="D102:G102"/>
    <mergeCell ref="D103:G103"/>
    <mergeCell ref="D104:G104"/>
    <mergeCell ref="D105:G105"/>
    <mergeCell ref="D106:G106"/>
    <mergeCell ref="D107:G107"/>
    <mergeCell ref="D113:J113"/>
    <mergeCell ref="K113:L113"/>
    <mergeCell ref="M113:N113"/>
    <mergeCell ref="P113:Q113"/>
    <mergeCell ref="D114:J114"/>
    <mergeCell ref="K114:L114"/>
    <mergeCell ref="M114:N114"/>
    <mergeCell ref="P114:Q114"/>
    <mergeCell ref="C108:W108"/>
    <mergeCell ref="C111:C112"/>
    <mergeCell ref="D111:J112"/>
    <mergeCell ref="K111:L112"/>
    <mergeCell ref="M111:W111"/>
    <mergeCell ref="D117:J117"/>
    <mergeCell ref="K117:L117"/>
    <mergeCell ref="M117:N117"/>
    <mergeCell ref="P117:Q117"/>
    <mergeCell ref="D118:J118"/>
    <mergeCell ref="K118:L118"/>
    <mergeCell ref="M118:N118"/>
    <mergeCell ref="P118:Q118"/>
    <mergeCell ref="D115:J115"/>
    <mergeCell ref="K115:L115"/>
    <mergeCell ref="M115:N115"/>
    <mergeCell ref="P115:Q115"/>
    <mergeCell ref="D116:J116"/>
    <mergeCell ref="K116:L116"/>
    <mergeCell ref="M116:N116"/>
    <mergeCell ref="P116:Q116"/>
    <mergeCell ref="K127:Q127"/>
    <mergeCell ref="K128:Q128"/>
    <mergeCell ref="K129:Q129"/>
    <mergeCell ref="K130:Q130"/>
    <mergeCell ref="K131:Q131"/>
    <mergeCell ref="K132:Q132"/>
    <mergeCell ref="C119:W119"/>
    <mergeCell ref="C125:C126"/>
    <mergeCell ref="D125:I126"/>
    <mergeCell ref="J125:J126"/>
    <mergeCell ref="K125:U125"/>
    <mergeCell ref="V125:V126"/>
    <mergeCell ref="K126:Q126"/>
    <mergeCell ref="U141:U144"/>
    <mergeCell ref="M143:M144"/>
    <mergeCell ref="N143:N144"/>
    <mergeCell ref="O143:O144"/>
    <mergeCell ref="P143:P144"/>
    <mergeCell ref="Q143:Q144"/>
    <mergeCell ref="R143:R144"/>
    <mergeCell ref="S143:S144"/>
    <mergeCell ref="K133:Q133"/>
    <mergeCell ref="K134:Q134"/>
    <mergeCell ref="K135:Q135"/>
    <mergeCell ref="K136:Q136"/>
    <mergeCell ref="C137:U137"/>
    <mergeCell ref="C141:C144"/>
    <mergeCell ref="D141:G144"/>
    <mergeCell ref="H141:H144"/>
    <mergeCell ref="I141:I144"/>
    <mergeCell ref="J141:K144"/>
    <mergeCell ref="D148:G148"/>
    <mergeCell ref="J148:K148"/>
    <mergeCell ref="D149:G149"/>
    <mergeCell ref="J149:K149"/>
    <mergeCell ref="D150:G150"/>
    <mergeCell ref="J150:K150"/>
    <mergeCell ref="T143:T144"/>
    <mergeCell ref="D145:G145"/>
    <mergeCell ref="J145:K145"/>
    <mergeCell ref="D146:G146"/>
    <mergeCell ref="J146:K146"/>
    <mergeCell ref="D147:G147"/>
    <mergeCell ref="J147:K147"/>
    <mergeCell ref="L141:L144"/>
    <mergeCell ref="M141:T142"/>
    <mergeCell ref="C165:T165"/>
    <mergeCell ref="C168:C169"/>
    <mergeCell ref="D168:O168"/>
    <mergeCell ref="P168:W168"/>
    <mergeCell ref="X168:X169"/>
    <mergeCell ref="D169:E169"/>
    <mergeCell ref="G169:L169"/>
    <mergeCell ref="M169:O169"/>
    <mergeCell ref="C151:T151"/>
    <mergeCell ref="C155:C157"/>
    <mergeCell ref="D155:J157"/>
    <mergeCell ref="K155:S155"/>
    <mergeCell ref="T155:T157"/>
    <mergeCell ref="U155:U157"/>
    <mergeCell ref="K156:M156"/>
    <mergeCell ref="N156:P156"/>
    <mergeCell ref="Q156:S156"/>
    <mergeCell ref="D172:E172"/>
    <mergeCell ref="G172:L172"/>
    <mergeCell ref="M172:O172"/>
    <mergeCell ref="D173:E173"/>
    <mergeCell ref="G173:L173"/>
    <mergeCell ref="M173:O173"/>
    <mergeCell ref="D170:E170"/>
    <mergeCell ref="G170:L170"/>
    <mergeCell ref="M170:O170"/>
    <mergeCell ref="D171:E171"/>
    <mergeCell ref="G171:L171"/>
    <mergeCell ref="M171:O171"/>
    <mergeCell ref="D181:L181"/>
    <mergeCell ref="C182:L182"/>
    <mergeCell ref="D186:L186"/>
    <mergeCell ref="D187:L187"/>
    <mergeCell ref="O187:W187"/>
    <mergeCell ref="D188:L188"/>
    <mergeCell ref="O188:W188"/>
    <mergeCell ref="D174:E174"/>
    <mergeCell ref="G174:L174"/>
    <mergeCell ref="M174:O174"/>
    <mergeCell ref="C175:W175"/>
    <mergeCell ref="D179:L179"/>
    <mergeCell ref="D180:L180"/>
    <mergeCell ref="O195:V195"/>
    <mergeCell ref="O196:V197"/>
    <mergeCell ref="G198:N198"/>
    <mergeCell ref="O198:V198"/>
    <mergeCell ref="O199:V199"/>
    <mergeCell ref="J201:N201"/>
    <mergeCell ref="D189:L189"/>
    <mergeCell ref="O189:V192"/>
    <mergeCell ref="D190:L190"/>
    <mergeCell ref="D191:L191"/>
    <mergeCell ref="D192:L192"/>
    <mergeCell ref="C193:L193"/>
    <mergeCell ref="C208:K208"/>
    <mergeCell ref="O208:V208"/>
    <mergeCell ref="C209:K209"/>
    <mergeCell ref="O209:V209"/>
    <mergeCell ref="O203:V204"/>
    <mergeCell ref="C204:N204"/>
    <mergeCell ref="C205:K206"/>
    <mergeCell ref="O205:V206"/>
    <mergeCell ref="C207:K207"/>
    <mergeCell ref="O207:V207"/>
  </mergeCells>
  <conditionalFormatting sqref="D187:L187">
    <cfRule type="cellIs" dxfId="0" priority="1" operator="notEqual">
      <formula>"""ภาระงานสอน"""</formula>
    </cfRule>
  </conditionalFormatting>
  <dataValidations count="15">
    <dataValidation type="list" allowBlank="1" showInputMessage="1" showErrorMessage="1" sqref="T127:T136">
      <formula1>"Project Team,Participant"</formula1>
    </dataValidation>
    <dataValidation type="list" allowBlank="1" showInputMessage="1" showErrorMessage="1" sqref="V113:V118">
      <formula1>"petty patented,Patented,National reward,International reward"</formula1>
    </dataValidation>
    <dataValidation type="list" allowBlank="1" showInputMessage="1" showErrorMessage="1" sqref="T113:T118">
      <formula1>"First Author/Corresponding,Other"</formula1>
    </dataValidation>
    <dataValidation type="list" allowBlank="1" showInputMessage="1" showErrorMessage="1" sqref="S113:S118">
      <formula1>"National,International"</formula1>
    </dataValidation>
    <dataValidation type="list" allowBlank="1" showInputMessage="1" showErrorMessage="1" sqref="P113:Q118">
      <formula1>$BL$113:$BL$119</formula1>
    </dataValidation>
    <dataValidation type="list" allowBlank="1" showInputMessage="1" showErrorMessage="1" sqref="M113:N118">
      <formula1>$BI$113:$BI$121</formula1>
    </dataValidation>
    <dataValidation type="list" allowBlank="1" showInputMessage="1" showErrorMessage="1" sqref="N69:N80 P69:Q80">
      <formula1>"IS,Thesis,Dissertation"</formula1>
    </dataValidation>
    <dataValidation type="list" allowBlank="1" showInputMessage="1" showErrorMessage="1" sqref="M69:M80">
      <formula1>"Main,Co"</formula1>
    </dataValidation>
    <dataValidation type="list" allowBlank="1" showInputMessage="1" showErrorMessage="1" sqref="M39:N41 I15:J24">
      <formula1>"Yes,No"</formula1>
    </dataValidation>
    <dataValidation type="list" allowBlank="1" showInputMessage="1" showErrorMessage="1" sqref="BC125:BC136 K127:K136">
      <formula1>บริการวิชาการ</formula1>
    </dataValidation>
    <dataValidation type="list" allowBlank="1" showInputMessage="1" showErrorMessage="1" sqref="M52:N59">
      <formula1>"หลัก,ร่วม"</formula1>
    </dataValidation>
    <dataValidation type="list" allowBlank="1" showInputMessage="1" showErrorMessage="1" sqref="J25">
      <formula1>"ใช่,ไม่ใช่"</formula1>
    </dataValidation>
    <dataValidation type="list" allowBlank="1" showInputMessage="1" showErrorMessage="1" sqref="N42:N45 I25">
      <formula1>"มี,ไม่มี"</formula1>
    </dataValidation>
    <dataValidation type="list" allowBlank="1" showInputMessage="1" showErrorMessage="1" sqref="K27:K29 N89:N93 J102:W107 K158:S164 P170:W174 D195:D198 M42:M45 S127:S136 M145:T150 E203 I203">
      <formula1>"ü"</formula1>
    </dataValidation>
    <dataValidation type="list" allowBlank="1" showInputMessage="1" showErrorMessage="1" sqref="I6:L6">
      <formula1>ตำแหน่งวิชาการ</formula1>
    </dataValidation>
  </dataValidations>
  <printOptions horizontalCentered="1"/>
  <pageMargins left="0.15748031496062992" right="0.15748031496062992" top="0.35433070866141736" bottom="0.31496062992125984" header="0.15748031496062992" footer="0.15748031496062992"/>
  <pageSetup paperSize="9" scale="78" fitToHeight="6" orientation="landscape" r:id="rId1"/>
  <headerFooter>
    <oddHeader>&amp;R&amp;P</oddHeader>
    <oddFooter>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'Workload calcutation'!$R$18:$R$20</xm:f>
          </x14:formula1>
          <xm:sqref>D15:D25</xm:sqref>
        </x14:dataValidation>
        <x14:dataValidation type="list" allowBlank="1" showInputMessage="1" showErrorMessage="1">
          <x14:formula1>
            <xm:f>'Workload calcutation'!$R$4:$R$15</xm:f>
          </x14:formula1>
          <xm:sqref>S6:V6</xm:sqref>
        </x14:dataValidation>
        <x14:dataValidation type="list" allowBlank="1" showInputMessage="1" showErrorMessage="1">
          <x14:formula1>
            <xm:f>'Workload calcutation'!$M$4:$M$33</xm:f>
          </x14:formula1>
          <xm:sqref>S5:V5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zoomScaleNormal="100" workbookViewId="0">
      <selection activeCell="C12" sqref="C12:K13"/>
    </sheetView>
  </sheetViews>
  <sheetFormatPr defaultColWidth="9.125" defaultRowHeight="12.75"/>
  <cols>
    <col min="1" max="1" width="3" style="1" customWidth="1"/>
    <col min="2" max="2" width="3.125" style="1" customWidth="1"/>
    <col min="3" max="3" width="5" style="1" customWidth="1"/>
    <col min="4" max="4" width="9.125" style="1"/>
    <col min="5" max="7" width="6.375" style="1" customWidth="1"/>
    <col min="8" max="8" width="7.625" style="1" customWidth="1"/>
    <col min="9" max="10" width="6.375" style="1" customWidth="1"/>
    <col min="11" max="11" width="6.25" style="1" customWidth="1"/>
    <col min="12" max="12" width="14.125" style="1" customWidth="1"/>
    <col min="13" max="13" width="13.25" style="1" customWidth="1"/>
    <col min="14" max="14" width="12.625" style="1" customWidth="1"/>
    <col min="15" max="15" width="15" style="1" customWidth="1"/>
    <col min="16" max="18" width="6.25" style="1" customWidth="1"/>
    <col min="19" max="20" width="6.875" style="1" customWidth="1"/>
    <col min="21" max="23" width="6.375" style="1" customWidth="1"/>
    <col min="24" max="16384" width="9.125" style="1"/>
  </cols>
  <sheetData>
    <row r="1" spans="2:20">
      <c r="B1" s="13"/>
      <c r="C1" s="695" t="s">
        <v>788</v>
      </c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13"/>
      <c r="Q1" s="13"/>
      <c r="R1" s="13"/>
      <c r="S1" s="13"/>
      <c r="T1" s="13"/>
    </row>
    <row r="2" spans="2:20">
      <c r="B2" s="13"/>
      <c r="C2" s="695" t="s">
        <v>789</v>
      </c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13"/>
      <c r="Q2" s="13"/>
      <c r="R2" s="13"/>
      <c r="S2" s="13"/>
      <c r="T2" s="13"/>
    </row>
    <row r="4" spans="2:20">
      <c r="C4" s="7" t="s">
        <v>548</v>
      </c>
      <c r="G4" s="714">
        <f>+'First (1st) Semester'!I5</f>
        <v>0</v>
      </c>
      <c r="H4" s="714"/>
      <c r="I4" s="714"/>
      <c r="J4" s="714"/>
      <c r="L4" s="7"/>
      <c r="M4" s="7"/>
      <c r="N4" s="7"/>
      <c r="O4" s="7"/>
      <c r="P4" s="7"/>
      <c r="Q4" s="7"/>
      <c r="R4" s="7"/>
      <c r="S4" s="7"/>
    </row>
    <row r="5" spans="2:20">
      <c r="C5" s="7" t="s">
        <v>549</v>
      </c>
      <c r="G5" s="742">
        <f>+'First (1st) Semester'!I6</f>
        <v>0</v>
      </c>
      <c r="H5" s="742"/>
      <c r="I5" s="742"/>
      <c r="J5" s="742"/>
      <c r="L5" s="7"/>
      <c r="M5" s="7"/>
      <c r="N5" s="7"/>
      <c r="O5" s="7"/>
      <c r="P5" s="7"/>
      <c r="Q5" s="7"/>
      <c r="R5" s="7"/>
      <c r="S5" s="7"/>
    </row>
    <row r="6" spans="2:20">
      <c r="C6" s="7" t="s">
        <v>550</v>
      </c>
      <c r="G6" s="743">
        <f>+'First (1st) Semester'!I7</f>
        <v>0</v>
      </c>
      <c r="H6" s="743"/>
      <c r="I6" s="743"/>
      <c r="J6" s="743"/>
    </row>
    <row r="7" spans="2:20">
      <c r="C7" s="7" t="s">
        <v>551</v>
      </c>
      <c r="G7" s="742">
        <f>+'First (1st) Semester'!I8</f>
        <v>0</v>
      </c>
      <c r="H7" s="742"/>
      <c r="I7" s="742"/>
      <c r="J7" s="742"/>
    </row>
    <row r="8" spans="2:20">
      <c r="C8" s="7" t="s">
        <v>552</v>
      </c>
      <c r="G8" s="743">
        <f>+'First (1st) Semester'!S5</f>
        <v>0</v>
      </c>
      <c r="H8" s="743"/>
      <c r="I8" s="743"/>
      <c r="J8" s="743"/>
    </row>
    <row r="9" spans="2:20">
      <c r="C9" s="7" t="s">
        <v>553</v>
      </c>
      <c r="G9" s="742">
        <f>+'First (1st) Semester'!S6</f>
        <v>0</v>
      </c>
      <c r="H9" s="742"/>
      <c r="I9" s="742"/>
      <c r="J9" s="742"/>
    </row>
    <row r="10" spans="2:20">
      <c r="C10" s="1" t="s">
        <v>554</v>
      </c>
      <c r="G10" s="743">
        <f>+'First (1st) Semester'!S7</f>
        <v>0</v>
      </c>
      <c r="H10" s="743"/>
      <c r="I10" s="743"/>
      <c r="J10" s="743"/>
    </row>
    <row r="12" spans="2:20">
      <c r="C12" s="525" t="s">
        <v>374</v>
      </c>
      <c r="D12" s="550" t="s">
        <v>790</v>
      </c>
      <c r="E12" s="551"/>
      <c r="F12" s="551"/>
      <c r="G12" s="551"/>
      <c r="H12" s="551"/>
      <c r="I12" s="551"/>
      <c r="J12" s="551"/>
      <c r="K12" s="552"/>
      <c r="L12" s="567" t="s">
        <v>792</v>
      </c>
      <c r="M12" s="747"/>
      <c r="N12" s="747"/>
      <c r="O12" s="568"/>
    </row>
    <row r="13" spans="2:20">
      <c r="C13" s="556"/>
      <c r="D13" s="553"/>
      <c r="E13" s="554"/>
      <c r="F13" s="554"/>
      <c r="G13" s="554"/>
      <c r="H13" s="554"/>
      <c r="I13" s="554"/>
      <c r="J13" s="554"/>
      <c r="K13" s="555"/>
      <c r="L13" s="36" t="s">
        <v>793</v>
      </c>
      <c r="M13" s="36" t="s">
        <v>794</v>
      </c>
      <c r="N13" s="10" t="s">
        <v>795</v>
      </c>
      <c r="O13" s="10" t="s">
        <v>796</v>
      </c>
    </row>
    <row r="14" spans="2:20">
      <c r="C14" s="278">
        <v>1</v>
      </c>
      <c r="D14" s="744" t="str">
        <f>IF(O14&lt;20,"The teaching load does not meet the criteria. (Less than 20 Teaching Loads per week)","Regular Teaching Duty")</f>
        <v>The teaching load does not meet the criteria. (Less than 20 Teaching Loads per week)</v>
      </c>
      <c r="E14" s="745"/>
      <c r="F14" s="745"/>
      <c r="G14" s="745"/>
      <c r="H14" s="745"/>
      <c r="I14" s="745"/>
      <c r="J14" s="745"/>
      <c r="K14" s="746"/>
      <c r="L14" s="53">
        <f>+'First (1st) Semester'!M187</f>
        <v>0</v>
      </c>
      <c r="M14" s="53">
        <f>+'Second (2nd) Semester'!M187</f>
        <v>0</v>
      </c>
      <c r="N14" s="53">
        <f t="shared" ref="N14:N19" si="0">L14+M14</f>
        <v>0</v>
      </c>
      <c r="O14" s="53">
        <f t="shared" ref="O14:O19" si="1">ROUND(N14/2,2)</f>
        <v>0</v>
      </c>
    </row>
    <row r="15" spans="2:20">
      <c r="C15" s="278">
        <v>2</v>
      </c>
      <c r="D15" s="687" t="s">
        <v>701</v>
      </c>
      <c r="E15" s="688"/>
      <c r="F15" s="688"/>
      <c r="G15" s="688"/>
      <c r="H15" s="688"/>
      <c r="I15" s="688"/>
      <c r="J15" s="688"/>
      <c r="K15" s="689"/>
      <c r="L15" s="53">
        <f>+'First (1st) Semester'!M188</f>
        <v>0</v>
      </c>
      <c r="M15" s="53">
        <f>+'Second (2nd) Semester'!M188</f>
        <v>0</v>
      </c>
      <c r="N15" s="53">
        <f t="shared" si="0"/>
        <v>0</v>
      </c>
      <c r="O15" s="53">
        <f t="shared" si="1"/>
        <v>0</v>
      </c>
    </row>
    <row r="16" spans="2:20">
      <c r="C16" s="278">
        <v>3</v>
      </c>
      <c r="D16" s="687" t="s">
        <v>702</v>
      </c>
      <c r="E16" s="688"/>
      <c r="F16" s="688"/>
      <c r="G16" s="688"/>
      <c r="H16" s="688"/>
      <c r="I16" s="688"/>
      <c r="J16" s="688"/>
      <c r="K16" s="689"/>
      <c r="L16" s="53">
        <f>+'First (1st) Semester'!M189</f>
        <v>0</v>
      </c>
      <c r="M16" s="53">
        <f>+'Second (2nd) Semester'!M189</f>
        <v>0</v>
      </c>
      <c r="N16" s="53">
        <f t="shared" si="0"/>
        <v>0</v>
      </c>
      <c r="O16" s="53">
        <f t="shared" si="1"/>
        <v>0</v>
      </c>
    </row>
    <row r="17" spans="3:19">
      <c r="C17" s="278">
        <v>4</v>
      </c>
      <c r="D17" s="687" t="s">
        <v>703</v>
      </c>
      <c r="E17" s="688"/>
      <c r="F17" s="688"/>
      <c r="G17" s="688"/>
      <c r="H17" s="688"/>
      <c r="I17" s="688"/>
      <c r="J17" s="688"/>
      <c r="K17" s="689"/>
      <c r="L17" s="53">
        <f>+'First (1st) Semester'!M190</f>
        <v>0</v>
      </c>
      <c r="M17" s="53">
        <f>+'Second (2nd) Semester'!M190</f>
        <v>0</v>
      </c>
      <c r="N17" s="53">
        <f t="shared" si="0"/>
        <v>0</v>
      </c>
      <c r="O17" s="53">
        <f t="shared" si="1"/>
        <v>0</v>
      </c>
    </row>
    <row r="18" spans="3:19">
      <c r="C18" s="278">
        <v>5</v>
      </c>
      <c r="D18" s="687" t="s">
        <v>692</v>
      </c>
      <c r="E18" s="688"/>
      <c r="F18" s="688"/>
      <c r="G18" s="688"/>
      <c r="H18" s="688"/>
      <c r="I18" s="688"/>
      <c r="J18" s="688"/>
      <c r="K18" s="689"/>
      <c r="L18" s="53">
        <f>+'First (1st) Semester'!M191</f>
        <v>0</v>
      </c>
      <c r="M18" s="53">
        <f>+'Second (2nd) Semester'!M191</f>
        <v>0</v>
      </c>
      <c r="N18" s="53">
        <f t="shared" si="0"/>
        <v>0</v>
      </c>
      <c r="O18" s="53">
        <f t="shared" si="1"/>
        <v>0</v>
      </c>
    </row>
    <row r="19" spans="3:19">
      <c r="C19" s="278">
        <v>6</v>
      </c>
      <c r="D19" s="687" t="s">
        <v>704</v>
      </c>
      <c r="E19" s="688"/>
      <c r="F19" s="688"/>
      <c r="G19" s="688"/>
      <c r="H19" s="688"/>
      <c r="I19" s="688"/>
      <c r="J19" s="688"/>
      <c r="K19" s="689"/>
      <c r="L19" s="53">
        <f>+'First (1st) Semester'!M192</f>
        <v>0</v>
      </c>
      <c r="M19" s="53">
        <f>+'Second (2nd) Semester'!M192</f>
        <v>0</v>
      </c>
      <c r="N19" s="53">
        <f t="shared" si="0"/>
        <v>0</v>
      </c>
      <c r="O19" s="53">
        <f t="shared" si="1"/>
        <v>0</v>
      </c>
    </row>
    <row r="20" spans="3:19">
      <c r="C20" s="756" t="s">
        <v>791</v>
      </c>
      <c r="D20" s="757"/>
      <c r="E20" s="757"/>
      <c r="F20" s="757"/>
      <c r="G20" s="757"/>
      <c r="H20" s="757"/>
      <c r="I20" s="757"/>
      <c r="J20" s="757"/>
      <c r="K20" s="758"/>
      <c r="L20" s="53">
        <f>SUM(L14:L19)</f>
        <v>0</v>
      </c>
      <c r="M20" s="53">
        <f>SUM(M14:M19)</f>
        <v>0</v>
      </c>
      <c r="N20" s="53">
        <f>SUM(N14:N19)</f>
        <v>0</v>
      </c>
      <c r="O20" s="53">
        <f>SUM(O14:O19)</f>
        <v>0</v>
      </c>
    </row>
    <row r="22" spans="3:19">
      <c r="C22" s="16" t="s">
        <v>797</v>
      </c>
    </row>
    <row r="23" spans="3:19">
      <c r="C23" s="1">
        <v>1</v>
      </c>
      <c r="D23" s="759"/>
      <c r="E23" s="759"/>
      <c r="F23" s="759"/>
      <c r="G23" s="759"/>
      <c r="H23" s="759"/>
      <c r="I23" s="759"/>
      <c r="J23" s="759"/>
      <c r="K23" s="759"/>
      <c r="L23" s="759"/>
      <c r="M23" s="759"/>
      <c r="N23" s="759"/>
      <c r="O23" s="759"/>
    </row>
    <row r="24" spans="3:19">
      <c r="C24" s="1">
        <v>2</v>
      </c>
      <c r="D24" s="688"/>
      <c r="E24" s="688"/>
      <c r="F24" s="688"/>
      <c r="G24" s="688"/>
      <c r="H24" s="688"/>
      <c r="I24" s="688"/>
      <c r="J24" s="688"/>
      <c r="K24" s="688"/>
      <c r="L24" s="688"/>
      <c r="M24" s="688"/>
      <c r="N24" s="688"/>
      <c r="O24" s="688"/>
    </row>
    <row r="25" spans="3:19">
      <c r="C25" s="1">
        <v>3</v>
      </c>
      <c r="D25" s="688"/>
      <c r="E25" s="688"/>
      <c r="F25" s="688"/>
      <c r="G25" s="688"/>
      <c r="H25" s="688"/>
      <c r="I25" s="688"/>
      <c r="J25" s="688"/>
      <c r="K25" s="688"/>
      <c r="L25" s="688"/>
      <c r="M25" s="688"/>
      <c r="N25" s="688"/>
      <c r="O25" s="688"/>
    </row>
    <row r="27" spans="3:19">
      <c r="L27" s="511" t="s">
        <v>714</v>
      </c>
      <c r="M27" s="511"/>
      <c r="N27" s="511"/>
      <c r="O27" s="511"/>
      <c r="P27" s="285"/>
      <c r="Q27" s="285"/>
      <c r="R27" s="285"/>
      <c r="S27" s="285"/>
    </row>
    <row r="28" spans="3:19">
      <c r="L28" s="511"/>
      <c r="M28" s="511"/>
      <c r="N28" s="511"/>
      <c r="O28" s="511"/>
      <c r="P28" s="285"/>
      <c r="Q28" s="285"/>
      <c r="R28" s="285"/>
      <c r="S28" s="285"/>
    </row>
    <row r="29" spans="3:19">
      <c r="L29" s="511"/>
      <c r="M29" s="511"/>
      <c r="N29" s="511"/>
      <c r="O29" s="511"/>
      <c r="P29" s="285"/>
      <c r="Q29" s="285"/>
      <c r="R29" s="285"/>
      <c r="S29" s="285"/>
    </row>
    <row r="30" spans="3:19">
      <c r="L30" s="511" t="s">
        <v>52</v>
      </c>
      <c r="M30" s="511"/>
      <c r="N30" s="511"/>
      <c r="O30" s="511"/>
      <c r="P30" s="285"/>
      <c r="Q30" s="285"/>
      <c r="R30" s="285"/>
      <c r="S30" s="285"/>
    </row>
    <row r="31" spans="3:19">
      <c r="L31" s="511" t="s">
        <v>724</v>
      </c>
      <c r="M31" s="511"/>
      <c r="N31" s="511"/>
      <c r="O31" s="511"/>
      <c r="P31" s="285"/>
      <c r="Q31" s="285"/>
      <c r="R31" s="285"/>
      <c r="S31" s="285"/>
    </row>
    <row r="32" spans="3:19">
      <c r="L32" s="15"/>
      <c r="M32" s="15"/>
      <c r="N32" s="15"/>
      <c r="O32" s="15"/>
    </row>
    <row r="33" spans="3:15">
      <c r="C33" s="56" t="s">
        <v>798</v>
      </c>
      <c r="D33" s="57"/>
      <c r="E33" s="57"/>
      <c r="F33" s="57"/>
      <c r="G33" s="57"/>
      <c r="H33" s="57"/>
      <c r="I33" s="57"/>
      <c r="J33" s="57"/>
      <c r="K33" s="57"/>
      <c r="L33" s="58"/>
      <c r="M33" s="607" t="s">
        <v>799</v>
      </c>
      <c r="N33" s="608"/>
      <c r="O33" s="609"/>
    </row>
    <row r="34" spans="3:15" ht="13.5" thickBot="1">
      <c r="C34" s="59"/>
      <c r="D34" s="749" t="s">
        <v>718</v>
      </c>
      <c r="E34" s="749"/>
      <c r="F34" s="749"/>
      <c r="G34" s="749"/>
      <c r="H34" s="749"/>
      <c r="I34" s="749"/>
      <c r="J34" s="749"/>
      <c r="K34" s="751"/>
      <c r="L34" s="752"/>
      <c r="M34" s="59"/>
      <c r="N34" s="286"/>
      <c r="O34" s="60"/>
    </row>
    <row r="35" spans="3:15" ht="13.5" thickBot="1">
      <c r="C35" s="59"/>
      <c r="D35" s="1" t="s">
        <v>719</v>
      </c>
      <c r="E35" s="14"/>
      <c r="F35" s="1" t="s">
        <v>720</v>
      </c>
      <c r="H35" s="286"/>
      <c r="I35" s="14"/>
      <c r="J35" s="1" t="s">
        <v>721</v>
      </c>
      <c r="M35" s="59"/>
      <c r="N35" s="286"/>
      <c r="O35" s="60"/>
    </row>
    <row r="36" spans="3:15" ht="13.9" customHeight="1">
      <c r="C36" s="59"/>
      <c r="D36" s="515" t="s">
        <v>800</v>
      </c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</row>
    <row r="37" spans="3:15">
      <c r="C37" s="287"/>
      <c r="D37" s="288"/>
      <c r="E37" s="288"/>
      <c r="F37" s="288"/>
      <c r="G37" s="288"/>
      <c r="H37" s="288"/>
      <c r="I37" s="288"/>
      <c r="J37" s="288"/>
      <c r="K37" s="286"/>
      <c r="L37" s="60"/>
      <c r="M37" s="59"/>
      <c r="N37" s="286"/>
      <c r="O37" s="60"/>
    </row>
    <row r="38" spans="3:15">
      <c r="C38" s="287"/>
      <c r="D38" s="288"/>
      <c r="E38" s="288"/>
      <c r="F38" s="288"/>
      <c r="G38" s="288"/>
      <c r="H38" s="288"/>
      <c r="I38" s="288"/>
      <c r="J38" s="288"/>
      <c r="K38" s="286"/>
      <c r="L38" s="289"/>
      <c r="M38" s="59"/>
      <c r="N38" s="286"/>
      <c r="O38" s="60"/>
    </row>
    <row r="39" spans="3:15">
      <c r="C39" s="59"/>
      <c r="D39" s="749" t="s">
        <v>52</v>
      </c>
      <c r="E39" s="749"/>
      <c r="F39" s="749"/>
      <c r="G39" s="749"/>
      <c r="H39" s="749"/>
      <c r="I39" s="749"/>
      <c r="J39" s="749"/>
      <c r="K39" s="749"/>
      <c r="L39" s="290"/>
      <c r="M39" s="748" t="s">
        <v>52</v>
      </c>
      <c r="N39" s="749"/>
      <c r="O39" s="750"/>
    </row>
    <row r="40" spans="3:15">
      <c r="C40" s="59"/>
      <c r="D40" s="749" t="s">
        <v>723</v>
      </c>
      <c r="E40" s="749"/>
      <c r="F40" s="749"/>
      <c r="G40" s="749"/>
      <c r="H40" s="749"/>
      <c r="I40" s="749"/>
      <c r="J40" s="749"/>
      <c r="K40" s="749"/>
      <c r="L40" s="291"/>
      <c r="M40" s="748" t="s">
        <v>723</v>
      </c>
      <c r="N40" s="749"/>
      <c r="O40" s="750"/>
    </row>
    <row r="41" spans="3:15">
      <c r="C41" s="61"/>
      <c r="D41" s="754" t="s">
        <v>724</v>
      </c>
      <c r="E41" s="754"/>
      <c r="F41" s="754"/>
      <c r="G41" s="754"/>
      <c r="H41" s="754"/>
      <c r="I41" s="754"/>
      <c r="J41" s="754"/>
      <c r="K41" s="754"/>
      <c r="L41" s="292"/>
      <c r="M41" s="753" t="s">
        <v>724</v>
      </c>
      <c r="N41" s="754"/>
      <c r="O41" s="755"/>
    </row>
  </sheetData>
  <mergeCells count="36">
    <mergeCell ref="M41:O41"/>
    <mergeCell ref="G4:J4"/>
    <mergeCell ref="D41:K41"/>
    <mergeCell ref="L31:O31"/>
    <mergeCell ref="D16:K16"/>
    <mergeCell ref="D17:K17"/>
    <mergeCell ref="D18:K18"/>
    <mergeCell ref="D19:K19"/>
    <mergeCell ref="C20:K20"/>
    <mergeCell ref="D23:O23"/>
    <mergeCell ref="D24:O24"/>
    <mergeCell ref="D25:O25"/>
    <mergeCell ref="G9:J9"/>
    <mergeCell ref="G6:J6"/>
    <mergeCell ref="M33:O33"/>
    <mergeCell ref="M39:O39"/>
    <mergeCell ref="M40:O40"/>
    <mergeCell ref="G8:J8"/>
    <mergeCell ref="G10:J10"/>
    <mergeCell ref="D39:K39"/>
    <mergeCell ref="D40:K40"/>
    <mergeCell ref="D34:J34"/>
    <mergeCell ref="K34:L34"/>
    <mergeCell ref="D36:O36"/>
    <mergeCell ref="C1:O1"/>
    <mergeCell ref="C2:O2"/>
    <mergeCell ref="L27:O27"/>
    <mergeCell ref="L28:O29"/>
    <mergeCell ref="L30:O30"/>
    <mergeCell ref="D12:K13"/>
    <mergeCell ref="C12:C13"/>
    <mergeCell ref="D14:K14"/>
    <mergeCell ref="D15:K15"/>
    <mergeCell ref="L12:O12"/>
    <mergeCell ref="G5:J5"/>
    <mergeCell ref="G7:J7"/>
  </mergeCells>
  <printOptions horizontalCentered="1"/>
  <pageMargins left="0.15748031496062992" right="0.15748031496062992" top="0.35433070866141736" bottom="0.31496062992125984" header="0.15748031496062992" footer="0.15748031496062992"/>
  <pageSetup paperSize="9" scale="95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Sheet2</vt:lpstr>
      <vt:lpstr>การนับภารกิจ (2)</vt:lpstr>
      <vt:lpstr>Workload calcutation</vt:lpstr>
      <vt:lpstr>First (1st) Semester</vt:lpstr>
      <vt:lpstr>Second (2nd) Semester</vt:lpstr>
      <vt:lpstr>Year Summary</vt:lpstr>
      <vt:lpstr>'Workload calcutation'!Print_Area</vt:lpstr>
      <vt:lpstr>'Year Summary'!Print_Area</vt:lpstr>
      <vt:lpstr>'การนับภารกิจ (2)'!Print_Area</vt:lpstr>
      <vt:lpstr>ตำแหน่งวิชาการ</vt:lpstr>
      <vt:lpstr>'Second (2nd) Semester'!บริการวิชาการ</vt:lpstr>
      <vt:lpstr>บริการวิชาการ</vt:lpstr>
      <vt:lpstr>ผลงานอื่น_1</vt:lpstr>
      <vt:lpstr>ผลงานอื่น_2</vt:lpstr>
      <vt:lpstr>ผลงานอื่น_3</vt:lpstr>
      <vt:lpstr>ผลงานอื่น_4</vt:lpstr>
      <vt:lpstr>สาขาวิชา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</dc:creator>
  <cp:lastModifiedBy>Chanvit</cp:lastModifiedBy>
  <cp:lastPrinted>2021-07-20T09:15:45Z</cp:lastPrinted>
  <dcterms:created xsi:type="dcterms:W3CDTF">2016-01-07T02:35:04Z</dcterms:created>
  <dcterms:modified xsi:type="dcterms:W3CDTF">2023-11-15T05:23:05Z</dcterms:modified>
</cp:coreProperties>
</file>